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updateLinks="always"/>
  <xr:revisionPtr revIDLastSave="0" documentId="13_ncr:1_{4AA8FADA-8C16-423C-96A3-421B363FF7C2}" xr6:coauthVersionLast="47" xr6:coauthVersionMax="47" xr10:uidLastSave="{00000000-0000-0000-0000-000000000000}"/>
  <bookViews>
    <workbookView xWindow="-120" yWindow="-120" windowWidth="29040" windowHeight="15840" tabRatio="976" xr2:uid="{00000000-000D-0000-FFFF-FFFF00000000}"/>
  </bookViews>
  <sheets>
    <sheet name="MENU" sheetId="22" r:id="rId1"/>
    <sheet name="Relevantes" sheetId="2" r:id="rId2"/>
    <sheet name="Balance" sheetId="3" r:id="rId3"/>
    <sheet name="Recursos" sheetId="4" r:id="rId4"/>
    <sheet name="Credito Performing" sheetId="20" r:id="rId5"/>
    <sheet name="Riesgo de crédito por Stage" sheetId="23" r:id="rId6"/>
    <sheet name="Dudosos (I)" sheetId="21" r:id="rId7"/>
    <sheet name="Dudosos (II)" sheetId="10" r:id="rId8"/>
    <sheet name="Adjudicados (I)" sheetId="8" r:id="rId9"/>
    <sheet name="Adjudicados (II)" sheetId="11" r:id="rId10"/>
    <sheet name="Resultados" sheetId="9" r:id="rId11"/>
    <sheet name="Rend &amp; Costes" sheetId="12" r:id="rId12"/>
    <sheet name="Comisiones" sheetId="14" r:id="rId13"/>
    <sheet name="Liquidez" sheetId="17" r:id="rId14"/>
    <sheet name="Solvencia" sheetId="1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E6" i="4"/>
  <c r="B9" i="10" l="1"/>
  <c r="D9" i="10" l="1"/>
  <c r="C9" i="10"/>
  <c r="D16" i="23" l="1"/>
  <c r="D17" i="23"/>
  <c r="D18" i="23"/>
  <c r="C16" i="23"/>
  <c r="C17" i="23"/>
  <c r="C18" i="23"/>
  <c r="E46" i="2"/>
  <c r="F33" i="2"/>
  <c r="F47" i="2" l="1"/>
  <c r="B2" i="20"/>
  <c r="F34" i="2"/>
  <c r="F45" i="2"/>
  <c r="F46" i="2"/>
  <c r="F10" i="23"/>
  <c r="F7" i="23"/>
  <c r="E34" i="2"/>
  <c r="F11" i="23"/>
  <c r="E47" i="2"/>
  <c r="F12" i="23"/>
  <c r="E45" i="2"/>
  <c r="B2" i="4"/>
  <c r="F4" i="23"/>
  <c r="E33" i="2"/>
  <c r="F5" i="23"/>
  <c r="F6" i="23"/>
  <c r="D2" i="20" l="1"/>
  <c r="C2" i="20"/>
  <c r="C2" i="4"/>
  <c r="D2" i="4"/>
  <c r="B2" i="21" l="1"/>
  <c r="B1" i="14"/>
  <c r="C1" i="14" s="1"/>
  <c r="D1" i="14" s="1"/>
  <c r="E1" i="14" s="1"/>
  <c r="F1" i="14" s="1"/>
  <c r="D2" i="21" l="1"/>
  <c r="C2" i="21"/>
  <c r="B3" i="19"/>
  <c r="B2" i="23"/>
  <c r="B2" i="8"/>
  <c r="C1" i="10"/>
  <c r="D1" i="10" s="1"/>
  <c r="E1" i="10" s="1"/>
  <c r="F1" i="10" s="1"/>
  <c r="B2" i="3"/>
  <c r="B2" i="17"/>
  <c r="B2" i="9"/>
  <c r="B1" i="11" l="1"/>
  <c r="B14" i="17"/>
  <c r="D2" i="3"/>
  <c r="D2" i="8"/>
  <c r="C2" i="8"/>
  <c r="D2" i="23"/>
  <c r="C3" i="19"/>
  <c r="B22" i="19"/>
  <c r="C2" i="23"/>
  <c r="D3" i="19"/>
  <c r="B29" i="9"/>
  <c r="C29" i="9" s="1"/>
  <c r="D29" i="9" s="1"/>
  <c r="E29" i="9" s="1"/>
  <c r="F29" i="9" s="1"/>
  <c r="C2" i="9"/>
  <c r="C2" i="17"/>
  <c r="D2" i="17"/>
  <c r="C2" i="3"/>
  <c r="B2" i="11" l="1"/>
  <c r="C22" i="19"/>
  <c r="C1" i="11"/>
  <c r="D1" i="11" s="1"/>
  <c r="F1" i="11"/>
  <c r="D22" i="19"/>
  <c r="B39" i="19"/>
  <c r="C2" i="11"/>
  <c r="D14" i="17"/>
  <c r="C14" i="17"/>
  <c r="B30" i="17"/>
  <c r="F2" i="11" l="1"/>
  <c r="D39" i="19"/>
  <c r="D2" i="11"/>
  <c r="E1" i="11"/>
  <c r="C39" i="19"/>
  <c r="C30" i="17"/>
  <c r="D30" i="17"/>
  <c r="E2" i="11" l="1"/>
  <c r="D10" i="11"/>
  <c r="D23" i="17"/>
  <c r="E10" i="11" l="1"/>
  <c r="E31" i="17"/>
  <c r="E32" i="17"/>
  <c r="F31" i="17"/>
  <c r="F32" i="17"/>
  <c r="E11" i="23"/>
  <c r="B17" i="23"/>
  <c r="E5" i="23"/>
  <c r="E10" i="23"/>
  <c r="F17" i="23" l="1"/>
  <c r="E17" i="23"/>
  <c r="E6" i="23" l="1"/>
  <c r="E4" i="23" l="1"/>
  <c r="B16" i="23"/>
  <c r="F16" i="23" l="1"/>
  <c r="E16" i="23"/>
  <c r="E7" i="23" l="1"/>
  <c r="E12" i="23" l="1"/>
  <c r="B18" i="23"/>
  <c r="F18" i="23" l="1"/>
  <c r="E18" i="23"/>
  <c r="B18" i="8" l="1"/>
  <c r="E20" i="4"/>
  <c r="F12" i="8" l="1"/>
  <c r="F14" i="8"/>
  <c r="F13" i="8"/>
  <c r="F11" i="8"/>
  <c r="E13" i="8" l="1"/>
  <c r="E12" i="8"/>
  <c r="E14" i="8"/>
  <c r="E11" i="8"/>
  <c r="F10" i="11" l="1"/>
  <c r="C21" i="8" l="1"/>
  <c r="C20" i="8"/>
  <c r="C19" i="8"/>
  <c r="E4" i="8"/>
  <c r="C18" i="8"/>
  <c r="E7" i="8"/>
  <c r="B21" i="8"/>
  <c r="E15" i="8"/>
  <c r="F15" i="8"/>
  <c r="E6" i="8"/>
  <c r="B20" i="8"/>
  <c r="E5" i="8"/>
  <c r="B19" i="8"/>
  <c r="D20" i="8" l="1"/>
  <c r="D19" i="8"/>
  <c r="E18" i="8"/>
  <c r="D21" i="8"/>
  <c r="B22" i="8"/>
  <c r="C10" i="11"/>
  <c r="F6" i="8"/>
  <c r="F7" i="8"/>
  <c r="E19" i="8"/>
  <c r="E21" i="8"/>
  <c r="F5" i="8"/>
  <c r="C22" i="8"/>
  <c r="B10" i="11"/>
  <c r="E8" i="8"/>
  <c r="F4" i="8"/>
  <c r="D18" i="8"/>
  <c r="E20" i="8"/>
  <c r="F21" i="8" l="1"/>
  <c r="F19" i="8"/>
  <c r="F20" i="8"/>
  <c r="F8" i="8"/>
  <c r="F18" i="8"/>
  <c r="E22" i="8"/>
  <c r="D22" i="8"/>
  <c r="E22" i="2"/>
  <c r="F22" i="2"/>
  <c r="E26" i="2"/>
  <c r="F22" i="8" l="1"/>
  <c r="F26" i="2"/>
  <c r="E19" i="4" l="1"/>
  <c r="E18" i="4"/>
  <c r="F18" i="4" l="1"/>
  <c r="F19" i="4"/>
  <c r="E27" i="4" l="1"/>
  <c r="F27" i="4"/>
  <c r="F20" i="4" l="1"/>
  <c r="F17" i="4" l="1"/>
  <c r="E17" i="4"/>
  <c r="F16" i="4" l="1"/>
  <c r="E16" i="4"/>
  <c r="E28" i="4" l="1"/>
  <c r="F28" i="4"/>
  <c r="B33" i="3" l="1"/>
  <c r="B16" i="3" l="1"/>
  <c r="B29" i="3"/>
  <c r="B34" i="3" l="1"/>
  <c r="E10" i="2" l="1"/>
  <c r="E4" i="2"/>
  <c r="E9" i="2"/>
  <c r="E15" i="3" l="1"/>
  <c r="E4" i="3"/>
  <c r="E14" i="3"/>
  <c r="E3" i="3"/>
  <c r="E13" i="3"/>
  <c r="E12" i="3"/>
  <c r="E8" i="3"/>
  <c r="E10" i="3"/>
  <c r="E7" i="3"/>
  <c r="E5" i="3"/>
  <c r="E11" i="3"/>
  <c r="E31" i="3"/>
  <c r="E26" i="3"/>
  <c r="E24" i="3"/>
  <c r="E20" i="3"/>
  <c r="E28" i="3"/>
  <c r="E22" i="3"/>
  <c r="E32" i="3"/>
  <c r="E27" i="3"/>
  <c r="E23" i="3"/>
  <c r="E21" i="3"/>
  <c r="E25" i="3"/>
  <c r="C33" i="3" l="1"/>
  <c r="E30" i="3"/>
  <c r="E9" i="3"/>
  <c r="E18" i="3"/>
  <c r="E4" i="17"/>
  <c r="E6" i="3"/>
  <c r="E33" i="3" l="1"/>
  <c r="C16" i="3"/>
  <c r="F4" i="3"/>
  <c r="F13" i="3"/>
  <c r="F5" i="3"/>
  <c r="F14" i="3"/>
  <c r="F7" i="3"/>
  <c r="F15" i="3"/>
  <c r="F8" i="3"/>
  <c r="F10" i="3"/>
  <c r="F12" i="3"/>
  <c r="F11" i="3"/>
  <c r="F3" i="3"/>
  <c r="F31" i="3"/>
  <c r="F28" i="3"/>
  <c r="F26" i="3"/>
  <c r="F24" i="3"/>
  <c r="F22" i="3"/>
  <c r="F20" i="3"/>
  <c r="F32" i="3"/>
  <c r="F27" i="3"/>
  <c r="F25" i="3"/>
  <c r="F23" i="3"/>
  <c r="F21" i="3"/>
  <c r="E16" i="3" l="1"/>
  <c r="D33" i="3"/>
  <c r="F30" i="3"/>
  <c r="F9" i="3"/>
  <c r="F18" i="3"/>
  <c r="F6" i="3"/>
  <c r="F19" i="3"/>
  <c r="F33" i="3" l="1"/>
  <c r="D29" i="3"/>
  <c r="D16" i="3"/>
  <c r="F16" i="3" l="1"/>
  <c r="D34" i="3"/>
  <c r="F29" i="3"/>
  <c r="F34" i="3" l="1"/>
  <c r="F9" i="2"/>
  <c r="F10" i="2"/>
  <c r="F4" i="2"/>
  <c r="E19" i="3" l="1"/>
  <c r="C29" i="3"/>
  <c r="C34" i="3" l="1"/>
  <c r="E29" i="3"/>
  <c r="E34" i="3" l="1"/>
  <c r="C4" i="10" l="1"/>
  <c r="D15" i="9" l="1"/>
  <c r="E15" i="9" s="1"/>
  <c r="D17" i="9"/>
  <c r="E17" i="9" s="1"/>
  <c r="D20" i="9"/>
  <c r="E20" i="9" s="1"/>
  <c r="D4" i="9"/>
  <c r="E4" i="9" s="1"/>
  <c r="D8" i="9"/>
  <c r="E8" i="9" s="1"/>
  <c r="E17" i="2" l="1"/>
  <c r="D18" i="9" l="1"/>
  <c r="E18" i="9" s="1"/>
  <c r="D14" i="9" l="1"/>
  <c r="E14" i="9" s="1"/>
  <c r="D13" i="9"/>
  <c r="E13" i="9" s="1"/>
  <c r="D22" i="9" l="1"/>
  <c r="E22" i="9" s="1"/>
  <c r="D12" i="9"/>
  <c r="E12" i="9" s="1"/>
  <c r="F16" i="2" l="1"/>
  <c r="D3" i="9" l="1"/>
  <c r="E3" i="9" s="1"/>
  <c r="D10" i="9"/>
  <c r="E10" i="9" s="1"/>
  <c r="D5" i="9"/>
  <c r="E5" i="9" s="1"/>
  <c r="F14" i="2"/>
  <c r="F13" i="2"/>
  <c r="D7" i="9"/>
  <c r="E7" i="9" s="1"/>
  <c r="D6" i="9"/>
  <c r="E6" i="9" s="1"/>
  <c r="D9" i="9"/>
  <c r="E9" i="9" s="1"/>
  <c r="F15" i="2" l="1"/>
  <c r="D11" i="9"/>
  <c r="E11" i="9" s="1"/>
  <c r="D16" i="9" l="1"/>
  <c r="E16" i="9" s="1"/>
  <c r="F17" i="2"/>
  <c r="D19" i="9" l="1"/>
  <c r="E19" i="9" s="1"/>
  <c r="D21" i="9" l="1"/>
  <c r="E21" i="9" s="1"/>
  <c r="E18" i="2"/>
  <c r="D23" i="9" l="1"/>
  <c r="E23" i="9" s="1"/>
  <c r="D25" i="9"/>
  <c r="E25" i="9" s="1"/>
  <c r="D26" i="9"/>
  <c r="E26" i="9" s="1"/>
  <c r="F18" i="2" l="1"/>
  <c r="E11" i="4" l="1"/>
  <c r="E10" i="4" l="1"/>
  <c r="E14" i="4"/>
  <c r="E5" i="4"/>
  <c r="E15" i="4"/>
  <c r="E24" i="4" l="1"/>
  <c r="E13" i="4"/>
  <c r="E26" i="4"/>
  <c r="E9" i="4"/>
  <c r="E25" i="4" l="1"/>
  <c r="E8" i="4"/>
  <c r="E12" i="4"/>
  <c r="F11" i="4" l="1"/>
  <c r="E4" i="4"/>
  <c r="E3" i="4" l="1"/>
  <c r="F15" i="4" l="1"/>
  <c r="F14" i="4"/>
  <c r="F10" i="4"/>
  <c r="F13" i="4" l="1"/>
  <c r="F26" i="4"/>
  <c r="F12" i="4" l="1"/>
  <c r="E29" i="4" l="1"/>
  <c r="F29" i="4"/>
  <c r="E23" i="4"/>
  <c r="F5" i="4" l="1"/>
  <c r="F9" i="4" l="1"/>
  <c r="F24" i="4"/>
  <c r="F25" i="4" l="1"/>
  <c r="F8" i="4"/>
  <c r="F4" i="4" l="1"/>
  <c r="F23" i="4"/>
  <c r="F3" i="4" l="1"/>
  <c r="F21" i="4" l="1"/>
  <c r="E21" i="4"/>
  <c r="F22" i="4" l="1"/>
  <c r="E22" i="4"/>
  <c r="F8" i="2"/>
  <c r="E8" i="2"/>
  <c r="E7" i="2" l="1"/>
  <c r="F7" i="2"/>
  <c r="C5" i="17" l="1"/>
  <c r="C23" i="17"/>
  <c r="D5" i="17"/>
  <c r="E22" i="17"/>
  <c r="C18" i="17"/>
  <c r="E17" i="17"/>
  <c r="E3" i="17"/>
  <c r="B5" i="17"/>
  <c r="E6" i="17"/>
  <c r="B23" i="17"/>
  <c r="E21" i="17"/>
  <c r="E16" i="17"/>
  <c r="D18" i="17"/>
  <c r="E15" i="17"/>
  <c r="B18" i="17"/>
  <c r="F22" i="17" l="1"/>
  <c r="D25" i="17"/>
  <c r="C25" i="17"/>
  <c r="F16" i="17"/>
  <c r="F21" i="17"/>
  <c r="E23" i="17"/>
  <c r="F3" i="17"/>
  <c r="F6" i="17"/>
  <c r="F15" i="17"/>
  <c r="F17" i="17"/>
  <c r="E5" i="17"/>
  <c r="E18" i="17"/>
  <c r="B25" i="17"/>
  <c r="E25" i="17" l="1"/>
  <c r="F18" i="17"/>
  <c r="F5" i="17"/>
  <c r="F23" i="17"/>
  <c r="F25" i="17" l="1"/>
  <c r="D8" i="17" l="1"/>
  <c r="C8" i="17" l="1"/>
  <c r="D10" i="17"/>
  <c r="E7" i="17"/>
  <c r="B8" i="17"/>
  <c r="F7" i="17" l="1"/>
  <c r="C10" i="17"/>
  <c r="E8" i="17"/>
  <c r="B10" i="17"/>
  <c r="F10" i="17" l="1"/>
  <c r="F8" i="17"/>
  <c r="E32" i="2" l="1"/>
  <c r="F32" i="2" l="1"/>
  <c r="F8" i="19" l="1"/>
  <c r="E8" i="19"/>
  <c r="F10" i="19"/>
  <c r="E10" i="19"/>
  <c r="F11" i="19"/>
  <c r="E11" i="19"/>
  <c r="E12" i="19"/>
  <c r="F12" i="19"/>
  <c r="E25" i="19"/>
  <c r="F25" i="19"/>
  <c r="E7" i="19"/>
  <c r="F7" i="19"/>
  <c r="E13" i="19"/>
  <c r="F13" i="19"/>
  <c r="F26" i="19"/>
  <c r="E26" i="19"/>
  <c r="F27" i="19"/>
  <c r="E27" i="19"/>
  <c r="E29" i="19"/>
  <c r="F29" i="19"/>
  <c r="F30" i="19"/>
  <c r="E30" i="19"/>
  <c r="E32" i="19"/>
  <c r="F32" i="19"/>
  <c r="F31" i="19"/>
  <c r="E31" i="19"/>
  <c r="F28" i="19"/>
  <c r="E28" i="19"/>
  <c r="E6" i="19"/>
  <c r="F6" i="19"/>
  <c r="F9" i="19"/>
  <c r="E9" i="19"/>
  <c r="E5" i="19" l="1"/>
  <c r="E34" i="19"/>
  <c r="E35" i="19"/>
  <c r="E15" i="19"/>
  <c r="E16" i="19"/>
  <c r="C41" i="19"/>
  <c r="B41" i="19" l="1"/>
  <c r="E14" i="19"/>
  <c r="C42" i="19"/>
  <c r="C44" i="19" s="1"/>
  <c r="B42" i="19" l="1"/>
  <c r="B44" i="19" s="1"/>
  <c r="E17" i="19"/>
  <c r="F35" i="19" l="1"/>
  <c r="F16" i="19"/>
  <c r="E4" i="19"/>
  <c r="E24" i="19" l="1"/>
  <c r="E23" i="19" l="1"/>
  <c r="E33" i="19"/>
  <c r="E36" i="19" l="1"/>
  <c r="F34" i="19" l="1"/>
  <c r="F15" i="19"/>
  <c r="F5" i="19" l="1"/>
  <c r="F24" i="19"/>
  <c r="F33" i="19" l="1"/>
  <c r="F23" i="19"/>
  <c r="F4" i="19"/>
  <c r="D41" i="19" l="1"/>
  <c r="F14" i="19"/>
  <c r="F36" i="19"/>
  <c r="D42" i="19" l="1"/>
  <c r="D44" i="19" s="1"/>
  <c r="F17" i="19"/>
  <c r="E39" i="2" l="1"/>
  <c r="F39" i="2"/>
  <c r="F37" i="2"/>
  <c r="E37" i="2"/>
  <c r="F40" i="2"/>
  <c r="E40" i="2"/>
  <c r="E41" i="2"/>
  <c r="F41" i="2"/>
  <c r="F38" i="2"/>
  <c r="E38" i="2"/>
  <c r="D43" i="21" l="1"/>
  <c r="D47" i="21" l="1"/>
  <c r="D44" i="21"/>
  <c r="D48" i="21"/>
  <c r="D46" i="21" l="1"/>
  <c r="F7" i="21" l="1"/>
  <c r="E7" i="21"/>
  <c r="E9" i="21"/>
  <c r="F8" i="21"/>
  <c r="E8" i="21"/>
  <c r="E12" i="21"/>
  <c r="F12" i="21"/>
  <c r="E6" i="21" l="1"/>
  <c r="F11" i="21" l="1"/>
  <c r="E11" i="21"/>
  <c r="F10" i="21" l="1"/>
  <c r="E10" i="21"/>
  <c r="E5" i="21" l="1"/>
  <c r="D23" i="21" l="1"/>
  <c r="D19" i="21" l="1"/>
  <c r="D20" i="21"/>
  <c r="D19" i="23" l="1"/>
  <c r="D21" i="21" l="1"/>
  <c r="D45" i="21"/>
  <c r="F9" i="21"/>
  <c r="D24" i="21"/>
  <c r="D18" i="21" l="1"/>
  <c r="D42" i="21"/>
  <c r="F6" i="21"/>
  <c r="D22" i="21"/>
  <c r="D41" i="21" l="1"/>
  <c r="F5" i="21"/>
  <c r="E4" i="21" l="1"/>
  <c r="F4" i="21"/>
  <c r="D16" i="21"/>
  <c r="D40" i="21"/>
  <c r="D17" i="21"/>
  <c r="C7" i="10" l="1"/>
  <c r="B4" i="10" s="1"/>
  <c r="D25" i="21"/>
  <c r="D49" i="21"/>
  <c r="B7" i="10"/>
  <c r="F13" i="21"/>
  <c r="E13" i="21"/>
  <c r="D4" i="10"/>
  <c r="E4" i="10"/>
  <c r="E21" i="2" l="1"/>
  <c r="F21" i="2"/>
  <c r="E23" i="2" l="1"/>
  <c r="F23" i="2" l="1"/>
  <c r="C21" i="21" l="1"/>
  <c r="C19" i="21"/>
  <c r="C20" i="21"/>
  <c r="C16" i="21"/>
  <c r="C23" i="21"/>
  <c r="C18" i="21" l="1"/>
  <c r="C24" i="21" l="1"/>
  <c r="C22" i="21" l="1"/>
  <c r="E3" i="20" l="1"/>
  <c r="F3" i="20"/>
  <c r="B16" i="21"/>
  <c r="E10" i="20"/>
  <c r="F10" i="20"/>
  <c r="B23" i="21"/>
  <c r="E8" i="20"/>
  <c r="F8" i="20"/>
  <c r="B21" i="21"/>
  <c r="E7" i="20"/>
  <c r="F7" i="20"/>
  <c r="B20" i="21"/>
  <c r="E6" i="20"/>
  <c r="F6" i="20"/>
  <c r="B19" i="21"/>
  <c r="C17" i="21"/>
  <c r="F5" i="20" l="1"/>
  <c r="E5" i="20"/>
  <c r="B18" i="21"/>
  <c r="E19" i="21"/>
  <c r="F19" i="21"/>
  <c r="F23" i="21"/>
  <c r="E23" i="21"/>
  <c r="F20" i="21"/>
  <c r="E20" i="21"/>
  <c r="E16" i="21"/>
  <c r="F16" i="21"/>
  <c r="F21" i="21"/>
  <c r="E21" i="21"/>
  <c r="C25" i="21"/>
  <c r="F11" i="20" l="1"/>
  <c r="E11" i="20"/>
  <c r="B24" i="21"/>
  <c r="F18" i="21"/>
  <c r="E18" i="21"/>
  <c r="F9" i="20" l="1"/>
  <c r="E9" i="20"/>
  <c r="B22" i="21"/>
  <c r="F24" i="21"/>
  <c r="E24" i="21"/>
  <c r="F4" i="20" l="1"/>
  <c r="E4" i="20"/>
  <c r="B17" i="21"/>
  <c r="F22" i="21"/>
  <c r="E22" i="21"/>
  <c r="E28" i="2" l="1"/>
  <c r="F17" i="21"/>
  <c r="E17" i="21"/>
  <c r="E29" i="2"/>
  <c r="F12" i="20"/>
  <c r="E12" i="20"/>
  <c r="B25" i="21"/>
  <c r="F25" i="21" l="1"/>
  <c r="E25" i="21"/>
  <c r="F24" i="2"/>
  <c r="E24" i="2"/>
  <c r="E5" i="2"/>
  <c r="F5" i="2"/>
  <c r="E6" i="2" l="1"/>
  <c r="F6" i="2"/>
  <c r="C43" i="21" l="1"/>
  <c r="F32" i="21" l="1"/>
  <c r="B44" i="21"/>
  <c r="B43" i="21"/>
  <c r="E31" i="21"/>
  <c r="F31" i="21"/>
  <c r="B47" i="21"/>
  <c r="F35" i="21"/>
  <c r="E35" i="21"/>
  <c r="B45" i="21"/>
  <c r="F33" i="21"/>
  <c r="C44" i="21"/>
  <c r="C47" i="21"/>
  <c r="C45" i="21"/>
  <c r="E47" i="21" l="1"/>
  <c r="F47" i="21"/>
  <c r="F30" i="21"/>
  <c r="B42" i="21"/>
  <c r="E33" i="21"/>
  <c r="E43" i="21"/>
  <c r="F43" i="21"/>
  <c r="E32" i="21"/>
  <c r="B40" i="21"/>
  <c r="F28" i="21"/>
  <c r="F45" i="21"/>
  <c r="E45" i="21"/>
  <c r="F44" i="21"/>
  <c r="E44" i="21"/>
  <c r="C42" i="21"/>
  <c r="C40" i="21"/>
  <c r="E40" i="21" l="1"/>
  <c r="F40" i="21"/>
  <c r="B48" i="21"/>
  <c r="F36" i="21"/>
  <c r="E30" i="21"/>
  <c r="E28" i="21"/>
  <c r="F42" i="21"/>
  <c r="E42" i="21"/>
  <c r="C48" i="21"/>
  <c r="E36" i="21" l="1"/>
  <c r="F34" i="21"/>
  <c r="B46" i="21"/>
  <c r="F48" i="21"/>
  <c r="E48" i="21"/>
  <c r="C46" i="21"/>
  <c r="E34" i="21" l="1"/>
  <c r="F29" i="21"/>
  <c r="B41" i="21"/>
  <c r="F46" i="21"/>
  <c r="E46" i="21"/>
  <c r="C41" i="21"/>
  <c r="F41" i="21" l="1"/>
  <c r="E41" i="21"/>
  <c r="F37" i="21"/>
  <c r="B49" i="21"/>
  <c r="E29" i="21"/>
  <c r="F13" i="23" l="1"/>
  <c r="B19" i="23"/>
  <c r="F49" i="21"/>
  <c r="C19" i="23"/>
  <c r="E13" i="23" l="1"/>
  <c r="E19" i="23"/>
  <c r="F19" i="23"/>
  <c r="C49" i="21"/>
  <c r="E49" i="21" s="1"/>
  <c r="E37" i="21"/>
  <c r="F25" i="2"/>
  <c r="E25" i="2"/>
  <c r="F27" i="2" l="1"/>
  <c r="E10" i="10"/>
  <c r="E27" i="2"/>
  <c r="F10" i="10"/>
  <c r="F42" i="2" l="1"/>
  <c r="E42" i="2"/>
  <c r="F29" i="2" l="1"/>
  <c r="F28" i="2"/>
</calcChain>
</file>

<file path=xl/sharedStrings.xml><?xml version="1.0" encoding="utf-8"?>
<sst xmlns="http://schemas.openxmlformats.org/spreadsheetml/2006/main" count="450" uniqueCount="282">
  <si>
    <t>LCR</t>
  </si>
  <si>
    <t>NSFR</t>
  </si>
  <si>
    <t>MENU</t>
  </si>
  <si>
    <t>Loan to deposits</t>
  </si>
  <si>
    <t>I.F.: Ingresos financieros</t>
  </si>
  <si>
    <t>C.F.: Costes financieros</t>
  </si>
  <si>
    <t>S.P.: Sector privado</t>
  </si>
  <si>
    <t>(*) I.F. Crédito a Clientes neto menos C.F. Depósitos de clientes</t>
  </si>
  <si>
    <t>RATIOS DE LIQUIDEZ</t>
  </si>
  <si>
    <t xml:space="preserve">1. Datos Relevantes </t>
  </si>
  <si>
    <t>2. Total Balance</t>
  </si>
  <si>
    <t>3. Recursos</t>
  </si>
  <si>
    <t>4. Crédito performing</t>
  </si>
  <si>
    <t>RESULTADOS</t>
  </si>
  <si>
    <t>DATOS RELEVANTES</t>
  </si>
  <si>
    <t>Millones de euros / % / pp</t>
  </si>
  <si>
    <t>BALANCE</t>
  </si>
  <si>
    <t>Recursos captados fuera de balance y seguros</t>
  </si>
  <si>
    <t>RESULTADOS (acumulado en el año)</t>
  </si>
  <si>
    <t>GESTIÓN DEL RIESGO</t>
  </si>
  <si>
    <t>LIQUIDEZ</t>
  </si>
  <si>
    <t>SOLVENCIA</t>
  </si>
  <si>
    <t>Ratio Texas</t>
  </si>
  <si>
    <t>OTROS DATOS</t>
  </si>
  <si>
    <t>Oficinas en España</t>
  </si>
  <si>
    <t>Cajeros</t>
  </si>
  <si>
    <t>RATIOS PHASE IN</t>
  </si>
  <si>
    <t>Millones € y %</t>
  </si>
  <si>
    <t>Recursos propios computables</t>
  </si>
  <si>
    <t>Capital de nivel I ordinario (BIS III)</t>
  </si>
  <si>
    <t>Capital</t>
  </si>
  <si>
    <t>Reservas</t>
  </si>
  <si>
    <t>Resultado atribuido al Grupo neto de dividendo</t>
  </si>
  <si>
    <t>Deducciones</t>
  </si>
  <si>
    <t>Otros (1)</t>
  </si>
  <si>
    <t>Capital de nivel I</t>
  </si>
  <si>
    <t>Capital de nivel II</t>
  </si>
  <si>
    <t>Activos ponderados por riesgo</t>
  </si>
  <si>
    <t>Capital de nivel I ordinario (BIS III) (%)</t>
  </si>
  <si>
    <t>Coeficiente de Solvencia - Ratio Total Capital (%)</t>
  </si>
  <si>
    <t>(1) autocartera, minoritarios y plusvalías en activos financieros en otro resultado global y período transitorio IFRS9</t>
  </si>
  <si>
    <t>RATIOS FULLY LOADED</t>
  </si>
  <si>
    <t>Otros (Autocartera, minoritarios y plusvalías otro rdo. Global)</t>
  </si>
  <si>
    <t>Phase in</t>
  </si>
  <si>
    <t>Capital de nivel I ordinario (%) - CET 1 proforma</t>
  </si>
  <si>
    <t>Total capital proforma (%)</t>
  </si>
  <si>
    <t>Requerimiento Pilar 1 + 2R + Conservación- Total Capital</t>
  </si>
  <si>
    <t>Exceso Total Capital  sobre requerimiento</t>
  </si>
  <si>
    <t>Millones de euros</t>
  </si>
  <si>
    <t>Efectivo y saldo efectivo en bancos centrales</t>
  </si>
  <si>
    <t>Activos financieros para negociar y con cambios en PyG</t>
  </si>
  <si>
    <t>Activos financieros con cambios en otro rdo. global</t>
  </si>
  <si>
    <t>Préstamos y anticipos a coste amortizado</t>
  </si>
  <si>
    <t>Préstamos y anticipos a bancos centrales y ent. crédito</t>
  </si>
  <si>
    <t>Préstamos y anticipos a la clientela</t>
  </si>
  <si>
    <t>Valores representativos de deuda a coste amortizado</t>
  </si>
  <si>
    <t>Derivados  y coberturas</t>
  </si>
  <si>
    <t>Inversiones en negocios conjuntos y asociados</t>
  </si>
  <si>
    <t>Activos tangibles</t>
  </si>
  <si>
    <t>Activos intangibles</t>
  </si>
  <si>
    <t>Activos por impuestos</t>
  </si>
  <si>
    <t>TOTAL ACTIVO</t>
  </si>
  <si>
    <t>Pasivos financieros para negociar y con cambios en PyG</t>
  </si>
  <si>
    <t>Pasivos financieros a coste amortizado</t>
  </si>
  <si>
    <t>Depósitos de la clientela</t>
  </si>
  <si>
    <t>Valores representativos de deuda emitidos</t>
  </si>
  <si>
    <t>Otros pasivos financieros</t>
  </si>
  <si>
    <t>Provisiones</t>
  </si>
  <si>
    <t>Pasivos por impuestos</t>
  </si>
  <si>
    <t>Otros pasivos</t>
  </si>
  <si>
    <t>TOTAL PASIVO</t>
  </si>
  <si>
    <t>Otro resultado global acumulado</t>
  </si>
  <si>
    <t>TOTAL PATRIMONIO NETO</t>
  </si>
  <si>
    <t>TOTAL PASIVO Y PATRIMONIO NETO</t>
  </si>
  <si>
    <t>RECURSOS</t>
  </si>
  <si>
    <t>Millones de euros. No incluye aj. valoración</t>
  </si>
  <si>
    <t>Administraciones públicas</t>
  </si>
  <si>
    <t>Sector privado</t>
  </si>
  <si>
    <t xml:space="preserve">    Depósitos a la vista</t>
  </si>
  <si>
    <t xml:space="preserve">    Depósitos a plazo</t>
  </si>
  <si>
    <t>Emisiones</t>
  </si>
  <si>
    <t>Recursos fuera de balance y seguros</t>
  </si>
  <si>
    <t>TOTAL RECURSOS ADMINISTRADOS</t>
  </si>
  <si>
    <t>Recursos adm. de clientes (minoristas)</t>
  </si>
  <si>
    <t xml:space="preserve">    En balance</t>
  </si>
  <si>
    <t>Vista sector privado</t>
  </si>
  <si>
    <t>Plazo sector privado</t>
  </si>
  <si>
    <t>Otros</t>
  </si>
  <si>
    <t xml:space="preserve">    Fuera de balance y seguros</t>
  </si>
  <si>
    <t>Mercados</t>
  </si>
  <si>
    <t>CRÉDITO PERFORMING</t>
  </si>
  <si>
    <t>Crédito a Administraciones Públicas</t>
  </si>
  <si>
    <t>Crédito al Sector Privado</t>
  </si>
  <si>
    <t xml:space="preserve">  Empresas</t>
  </si>
  <si>
    <t xml:space="preserve">    Promoción y construcción inmobiliaria</t>
  </si>
  <si>
    <t xml:space="preserve">    Pymes y autónomos</t>
  </si>
  <si>
    <t xml:space="preserve">    Resto de empresas</t>
  </si>
  <si>
    <t xml:space="preserve">  Particulares</t>
  </si>
  <si>
    <t xml:space="preserve">    Garantía hipotecaria </t>
  </si>
  <si>
    <t xml:space="preserve">    Consumo y resto</t>
  </si>
  <si>
    <t>DUDOSOS</t>
  </si>
  <si>
    <t>EXPOSICIÓN BRUTA</t>
  </si>
  <si>
    <t>TOTAL SALDOS DUDOSOS</t>
  </si>
  <si>
    <t>DOTACIONES POR DETERIORO</t>
  </si>
  <si>
    <t>TOTAL DOTACIONES POR DETERIORO</t>
  </si>
  <si>
    <t>%COBERTURA</t>
  </si>
  <si>
    <t>TOTAL COBERTURA</t>
  </si>
  <si>
    <t>DUDOSOS (ii)</t>
  </si>
  <si>
    <t>EVOLUCIÓN DUDOSOS</t>
  </si>
  <si>
    <t>Saldos dudosos al inicio del período</t>
  </si>
  <si>
    <t>Saldos dudosos al cierre del período</t>
  </si>
  <si>
    <t xml:space="preserve">Entradas </t>
  </si>
  <si>
    <t>Salidas</t>
  </si>
  <si>
    <t>Ratio Texas: Dudosos más adjudicados sobre capital más provisiones por insolvencias y adjudicados</t>
  </si>
  <si>
    <t>INMUEBLES ADJUDICADOS</t>
  </si>
  <si>
    <t>VALOR BRUTO</t>
  </si>
  <si>
    <t>TOTAL ACTIVOS INMOBILIARIOS ADJUDICADOS- Valor Bruto</t>
  </si>
  <si>
    <t>DETERIORO DE VALOR ACUMULADO</t>
  </si>
  <si>
    <t>TOTAL ACTIVOS INMOBILIARIOS ADJUDICADOS- Deterioro</t>
  </si>
  <si>
    <t>TASA DE COBERTURA (%)</t>
  </si>
  <si>
    <t>TOTAL ACTIVOS INMOBILIARIOS ADJUDICADOS- Cobertura</t>
  </si>
  <si>
    <t>INMUEBLES ADJUDICADOS (ii)</t>
  </si>
  <si>
    <t>EVOLUCIÓN ACTIVOS INMOBILIARIOS ADJUDICADOS</t>
  </si>
  <si>
    <t>Act. inmob. adjudicados al inicio del período</t>
  </si>
  <si>
    <t>Act. inmob. adjudicados al cierre del período</t>
  </si>
  <si>
    <t>%Salidas trimestre sobre adjudicados inicio ejercicio</t>
  </si>
  <si>
    <t>Variación interanual</t>
  </si>
  <si>
    <t>Importe</t>
  </si>
  <si>
    <t>%</t>
  </si>
  <si>
    <t>Ingresos por Intereses</t>
  </si>
  <si>
    <t>Gastos por Intereses</t>
  </si>
  <si>
    <t>MARGEN DE INTERESES</t>
  </si>
  <si>
    <t>Dividendos</t>
  </si>
  <si>
    <t>Resultados de EVPEMP</t>
  </si>
  <si>
    <t>Ingresos por comisiones menos gastos por comisiones</t>
  </si>
  <si>
    <t>Resultado de operaciones financieras y dif. Cambio</t>
  </si>
  <si>
    <t>Otros ingresos menos otros gastos de explotación y contratos de seguro</t>
  </si>
  <si>
    <t>MARGEN BRUTO</t>
  </si>
  <si>
    <t>Gastos de administración</t>
  </si>
  <si>
    <t>Gastos de personal</t>
  </si>
  <si>
    <t>Otros gastos generales de administración</t>
  </si>
  <si>
    <t>Amortización</t>
  </si>
  <si>
    <t>MARGEN DE EXPLOTACIÓN (antes de saneamientos)</t>
  </si>
  <si>
    <t>Provisiones / reversión</t>
  </si>
  <si>
    <t>Deterioro /reversión del valor de activos financieros</t>
  </si>
  <si>
    <t>RESULTADO DE LA ACTIVIDAD DE EXPLOTACIÓN</t>
  </si>
  <si>
    <t>Deterioro/reversión del valor del resto de act.  y otr. ganancias y pérdidas (neto)</t>
  </si>
  <si>
    <t>RESULTADO ANTES DE IMPUESTOS</t>
  </si>
  <si>
    <t>Impuesto sobre beneficios</t>
  </si>
  <si>
    <t>RESULTADO DEL EJERCICIO PROCEDENTE DE OPERACIONES CONTINUADAS</t>
  </si>
  <si>
    <t>Resultado de operaciones interrumpidas (neto)</t>
  </si>
  <si>
    <t>RESULTADO CONSOLIDADO DEL EJERCICIO</t>
  </si>
  <si>
    <t>RESULTADO ATRIBUIDO A LA ENTIDAD DOMINANTE</t>
  </si>
  <si>
    <t>Otros ingresos menos otros gastos de explotación y seguro</t>
  </si>
  <si>
    <t>RENDIMIENTOS Y COSTES</t>
  </si>
  <si>
    <t>Millones euros / %</t>
  </si>
  <si>
    <t>S.medio</t>
  </si>
  <si>
    <t>IF/CF</t>
  </si>
  <si>
    <t>Tipo(%)</t>
  </si>
  <si>
    <t>I.F. Intermed. Financieros y ATAs</t>
  </si>
  <si>
    <t>I.F. Cartera Renta Fija</t>
  </si>
  <si>
    <t>I.F. Crédito a Clientes neto</t>
  </si>
  <si>
    <t>I.F. Otros activos</t>
  </si>
  <si>
    <t>C.F.  Intermed. Financ. y CTAs</t>
  </si>
  <si>
    <t>C.F. Emisiones (incl.Ced. Singulares)</t>
  </si>
  <si>
    <t>C.F. Depósitos Clientes</t>
  </si>
  <si>
    <t>Del que: Vista S.P.</t>
  </si>
  <si>
    <t>Del que: Plazo S.P.</t>
  </si>
  <si>
    <t>C.F. Pasivos Subordinados</t>
  </si>
  <si>
    <t>C.F. otros pasivos</t>
  </si>
  <si>
    <t>TOTAL PASIVO Y P.N.</t>
  </si>
  <si>
    <t>MARGEN DE CLIENTES*</t>
  </si>
  <si>
    <t>COMISIONES</t>
  </si>
  <si>
    <t>COMISIONES PERCIBIDAS</t>
  </si>
  <si>
    <t>Por servicio de cobros y pagos</t>
  </si>
  <si>
    <t>Otras comisiones</t>
  </si>
  <si>
    <t>COMISIONES PAGADAS</t>
  </si>
  <si>
    <t>COMISIONES NETAS</t>
  </si>
  <si>
    <t>Crédito a la clientela (sin ajustes ni OAF)</t>
  </si>
  <si>
    <t>-Adquisiciones temporales</t>
  </si>
  <si>
    <t>a) Crédito a clientes estricto</t>
  </si>
  <si>
    <t>Depósitos a clientes (sin ajustes)</t>
  </si>
  <si>
    <t>-Cédulas Singulares</t>
  </si>
  <si>
    <t>b) Depósitos clientes estricto</t>
  </si>
  <si>
    <t>Ltd Ratio (a/b)</t>
  </si>
  <si>
    <t>Activos líquidos</t>
  </si>
  <si>
    <t xml:space="preserve">  Punta de tesorería (1)</t>
  </si>
  <si>
    <t xml:space="preserve">  Adquisiciones temporales de activos</t>
  </si>
  <si>
    <t xml:space="preserve">  Cartera de R. fija y otros activos descontables en BCE</t>
  </si>
  <si>
    <t xml:space="preserve">  Total activos líquidos (valor de descuento en BCE)</t>
  </si>
  <si>
    <t>Activos líquidos utilizados</t>
  </si>
  <si>
    <t xml:space="preserve">  Tomado en BCE</t>
  </si>
  <si>
    <t xml:space="preserve">  Cesiones temporales de activos y otras pignoraciones</t>
  </si>
  <si>
    <t xml:space="preserve">  Total activos líquidos utilizados</t>
  </si>
  <si>
    <t>ACTIVOS LÍQUIDOS DESCONTABLES DISPONIBLES</t>
  </si>
  <si>
    <t>Porcentaje sobre total activo</t>
  </si>
  <si>
    <t>(1) Depósitos interbancarios + excedente de saldo en BCE y cuentas operativas</t>
  </si>
  <si>
    <t>Depósitos de bancos centrales</t>
  </si>
  <si>
    <t>Depósitos de entidades de crédito</t>
  </si>
  <si>
    <t>Fondos propios</t>
  </si>
  <si>
    <t>Intereses minoritarios</t>
  </si>
  <si>
    <t>INVERSIÓN CREDITICIA PERFORMING</t>
  </si>
  <si>
    <t>Entradas</t>
  </si>
  <si>
    <t>Viviendas en construcción</t>
  </si>
  <si>
    <t>Vivienda terminada</t>
  </si>
  <si>
    <t>Suelo, fincas rústicas y otros terrenos</t>
  </si>
  <si>
    <t>Oficinas, locales, naves y otros inmuebles</t>
  </si>
  <si>
    <t>QoQ</t>
  </si>
  <si>
    <t>YoY</t>
  </si>
  <si>
    <t>6. Dudosos (I)</t>
  </si>
  <si>
    <t>7. Dudosos (II)</t>
  </si>
  <si>
    <t>8. Adjudicados (I)</t>
  </si>
  <si>
    <t>9. Adjudicados (II)</t>
  </si>
  <si>
    <t>10. Resultados</t>
  </si>
  <si>
    <t>11. Rendimientos y costes</t>
  </si>
  <si>
    <t>12. Comisiones</t>
  </si>
  <si>
    <t>5. Riesgo de crédito por Stage</t>
  </si>
  <si>
    <t>RIESGO DE CRÉDITO POR STAGE</t>
  </si>
  <si>
    <t>TOTAL EXPOSICIÓN BRUTA</t>
  </si>
  <si>
    <t xml:space="preserve">  Stage 1</t>
  </si>
  <si>
    <t xml:space="preserve">  Stage 2</t>
  </si>
  <si>
    <t xml:space="preserve">  Stage 3</t>
  </si>
  <si>
    <t>13. Liquidez</t>
  </si>
  <si>
    <t>14. Solvencia</t>
  </si>
  <si>
    <t>Empleados</t>
  </si>
  <si>
    <t>(1) Sin ajustes por valoración ni operaciones intragrupo</t>
  </si>
  <si>
    <t>Total Activo</t>
  </si>
  <si>
    <r>
      <t xml:space="preserve">Préstamos y anticipos a la clientela Brutos </t>
    </r>
    <r>
      <rPr>
        <vertAlign val="superscript"/>
        <sz val="11"/>
        <color theme="1"/>
        <rFont val="Manrope"/>
        <family val="2"/>
        <scheme val="minor"/>
      </rPr>
      <t>(1</t>
    </r>
    <r>
      <rPr>
        <vertAlign val="superscript"/>
        <sz val="11"/>
        <color theme="1"/>
        <rFont val="Calibri"/>
        <family val="2"/>
      </rPr>
      <t>)</t>
    </r>
  </si>
  <si>
    <r>
      <t xml:space="preserve">Ptmos. y antic. clientela performing brutos </t>
    </r>
    <r>
      <rPr>
        <vertAlign val="superscript"/>
        <sz val="11"/>
        <color theme="1"/>
        <rFont val="Manrope"/>
        <family val="2"/>
        <scheme val="minor"/>
      </rPr>
      <t>(1</t>
    </r>
    <r>
      <rPr>
        <vertAlign val="superscript"/>
        <sz val="11"/>
        <color theme="1"/>
        <rFont val="Calibri"/>
        <family val="2"/>
      </rPr>
      <t>)</t>
    </r>
  </si>
  <si>
    <r>
      <t xml:space="preserve">Recursos de clientes minoristas </t>
    </r>
    <r>
      <rPr>
        <vertAlign val="superscript"/>
        <sz val="11"/>
        <color theme="1"/>
        <rFont val="Calibri"/>
        <family val="2"/>
      </rPr>
      <t>(1)</t>
    </r>
  </si>
  <si>
    <t>Fondos Propios</t>
  </si>
  <si>
    <t>Patrimonio Neto</t>
  </si>
  <si>
    <t xml:space="preserve">Saldos dudosos (a) </t>
  </si>
  <si>
    <r>
      <t>Activos adjudicados Inmobiliarios brutos (b)</t>
    </r>
    <r>
      <rPr>
        <vertAlign val="superscript"/>
        <sz val="11"/>
        <color theme="1"/>
        <rFont val="Manrope"/>
        <family val="2"/>
        <scheme val="minor"/>
      </rPr>
      <t xml:space="preserve"> </t>
    </r>
  </si>
  <si>
    <t>Activos no productivos -NPA- (a+b)</t>
  </si>
  <si>
    <t>Ratio de morosidad</t>
  </si>
  <si>
    <r>
      <t>Ratio de cobertura de la morosidad</t>
    </r>
    <r>
      <rPr>
        <vertAlign val="superscript"/>
        <sz val="11"/>
        <color theme="1"/>
        <rFont val="Manrope"/>
        <family val="2"/>
        <scheme val="minor"/>
      </rPr>
      <t xml:space="preserve"> </t>
    </r>
  </si>
  <si>
    <t xml:space="preserve">Ratio de cobertura de adjudicados Inmobiliarios </t>
  </si>
  <si>
    <t xml:space="preserve">Ratio de cobertura NPAs </t>
  </si>
  <si>
    <t xml:space="preserve">Coste del riesgo </t>
  </si>
  <si>
    <t>Ratio LtD</t>
  </si>
  <si>
    <t>Ratio de cobertura de liquidez (LCR)</t>
  </si>
  <si>
    <t>Ratio de financiación neta estable (NSFR)</t>
  </si>
  <si>
    <r>
      <t xml:space="preserve">Ratio CET1 </t>
    </r>
    <r>
      <rPr>
        <i/>
        <sz val="11"/>
        <color theme="1"/>
        <rFont val="Manrope"/>
        <family val="2"/>
        <scheme val="minor"/>
      </rPr>
      <t>phase in</t>
    </r>
  </si>
  <si>
    <r>
      <t>Ratio CET1</t>
    </r>
    <r>
      <rPr>
        <i/>
        <sz val="11"/>
        <color theme="1"/>
        <rFont val="Manrope"/>
        <family val="2"/>
        <scheme val="minor"/>
      </rPr>
      <t xml:space="preserve"> fully loaded</t>
    </r>
  </si>
  <si>
    <r>
      <t xml:space="preserve">Ratio de Capital Total </t>
    </r>
    <r>
      <rPr>
        <i/>
        <sz val="11"/>
        <color theme="1"/>
        <rFont val="Manrope"/>
        <family val="2"/>
        <scheme val="minor"/>
      </rPr>
      <t xml:space="preserve">phase in </t>
    </r>
  </si>
  <si>
    <r>
      <t>Ratio de Capital Total</t>
    </r>
    <r>
      <rPr>
        <i/>
        <sz val="11"/>
        <color theme="1"/>
        <rFont val="Manrope"/>
        <family val="2"/>
        <scheme val="minor"/>
      </rPr>
      <t xml:space="preserve"> fully loaded </t>
    </r>
  </si>
  <si>
    <t xml:space="preserve">Activos ponderados por riesgo (APRs) </t>
  </si>
  <si>
    <t xml:space="preserve">Ratio Texas </t>
  </si>
  <si>
    <t>RATIO DE MORA</t>
  </si>
  <si>
    <t>Coste del riesgo recurrente</t>
  </si>
  <si>
    <t>Margen de intereses</t>
  </si>
  <si>
    <t xml:space="preserve">    Cesión temporal de activos</t>
  </si>
  <si>
    <t xml:space="preserve">      Cédulas hipotecarias</t>
  </si>
  <si>
    <t xml:space="preserve">      Otros valores</t>
  </si>
  <si>
    <t xml:space="preserve">      Pasivos subordinados</t>
  </si>
  <si>
    <t>Total recursos de balance</t>
  </si>
  <si>
    <t xml:space="preserve">  Fondos de inversión*</t>
  </si>
  <si>
    <t xml:space="preserve">  Fondos de pensiones</t>
  </si>
  <si>
    <t xml:space="preserve">  Seguros de ahorro</t>
  </si>
  <si>
    <t xml:space="preserve">  Otros patrimonios gestionados</t>
  </si>
  <si>
    <t>1T 2023</t>
  </si>
  <si>
    <t>Por seguros</t>
  </si>
  <si>
    <t>Por fondos de inversión</t>
  </si>
  <si>
    <t>Por planes de pensiones</t>
  </si>
  <si>
    <t>Margen Bruto</t>
  </si>
  <si>
    <t>Margen de explotación antes de saneamientos</t>
  </si>
  <si>
    <t>Resultado consolidado del período</t>
  </si>
  <si>
    <t>Activos no corrientes en venta y Otros activos</t>
  </si>
  <si>
    <t>TOTAL RATIO DE MORA</t>
  </si>
  <si>
    <t>2T 2023</t>
  </si>
  <si>
    <t>3T 2023</t>
  </si>
  <si>
    <t>(trimestres anteriores a junio de 2023 reexpresados por la primera aplicación de la NIIF 17)</t>
  </si>
  <si>
    <t>4T 2023</t>
  </si>
  <si>
    <t>Bajas</t>
  </si>
  <si>
    <t>Reclas</t>
  </si>
  <si>
    <t>Ratio de eficiencia</t>
  </si>
  <si>
    <t>Rentabilidad sobre los fondos propios tangibles ROTE</t>
  </si>
  <si>
    <t xml:space="preserve">    Depósitos</t>
  </si>
  <si>
    <r>
      <t xml:space="preserve">Depósitos de la clientela </t>
    </r>
    <r>
      <rPr>
        <b/>
        <sz val="9"/>
        <color theme="0"/>
        <rFont val="Calibri"/>
        <family val="2"/>
      </rPr>
      <t>(excluidas cédulas)</t>
    </r>
  </si>
  <si>
    <t>1T 2024</t>
  </si>
  <si>
    <t>3M24 vs 3M23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</si>
</sst>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.0\ \p\p"/>
    <numFmt numFmtId="166" formatCode="0\ \p\p"/>
    <numFmt numFmtId="167" formatCode="dd/mm/yy"/>
    <numFmt numFmtId="168" formatCode="#,##0.00000"/>
    <numFmt numFmtId="169" formatCode="\+0.0\ \p\p;\ \-0.0\ \p\p"/>
    <numFmt numFmtId="170" formatCode="#,##0.0"/>
  </numFmts>
  <fonts count="31" x14ac:knownFonts="1">
    <font>
      <sz val="11"/>
      <color theme="1"/>
      <name val="Manrope"/>
      <family val="2"/>
      <scheme val="minor"/>
    </font>
    <font>
      <sz val="11"/>
      <color theme="1"/>
      <name val="Manrope"/>
      <family val="2"/>
      <scheme val="minor"/>
    </font>
    <font>
      <u/>
      <sz val="11"/>
      <color theme="10"/>
      <name val="Manrope"/>
      <family val="2"/>
      <scheme val="minor"/>
    </font>
    <font>
      <b/>
      <sz val="11"/>
      <color theme="1"/>
      <name val="Manrope"/>
      <family val="2"/>
      <scheme val="minor"/>
    </font>
    <font>
      <sz val="10"/>
      <color theme="1"/>
      <name val="Manrope"/>
      <family val="2"/>
      <scheme val="minor"/>
    </font>
    <font>
      <i/>
      <sz val="8"/>
      <color theme="1"/>
      <name val="Manrope"/>
      <family val="2"/>
      <scheme val="minor"/>
    </font>
    <font>
      <i/>
      <sz val="9"/>
      <color theme="1"/>
      <name val="Manrope"/>
      <family val="2"/>
      <scheme val="minor"/>
    </font>
    <font>
      <b/>
      <sz val="12"/>
      <color theme="1"/>
      <name val="Manrope"/>
      <family val="2"/>
      <scheme val="minor"/>
    </font>
    <font>
      <i/>
      <sz val="11"/>
      <color theme="1"/>
      <name val="Manrope"/>
      <family val="2"/>
      <scheme val="minor"/>
    </font>
    <font>
      <b/>
      <sz val="11"/>
      <color theme="0"/>
      <name val="Manrope"/>
      <family val="2"/>
      <scheme val="minor"/>
    </font>
    <font>
      <sz val="11"/>
      <color theme="0"/>
      <name val="Manrope"/>
      <family val="2"/>
      <scheme val="minor"/>
    </font>
    <font>
      <b/>
      <sz val="11"/>
      <name val="Manrope"/>
      <family val="2"/>
      <scheme val="minor"/>
    </font>
    <font>
      <sz val="11"/>
      <color rgb="FFFF0000"/>
      <name val="Manrope"/>
      <family val="2"/>
      <scheme val="minor"/>
    </font>
    <font>
      <sz val="11"/>
      <name val="Manrope"/>
      <family val="2"/>
      <scheme val="minor"/>
    </font>
    <font>
      <b/>
      <sz val="14"/>
      <color rgb="FF009900"/>
      <name val="Manrope"/>
      <family val="2"/>
      <scheme val="minor"/>
    </font>
    <font>
      <b/>
      <sz val="12"/>
      <name val="Manrope"/>
      <family val="2"/>
      <scheme val="minor"/>
    </font>
    <font>
      <sz val="8"/>
      <name val="Manrope"/>
      <family val="2"/>
      <scheme val="minor"/>
    </font>
    <font>
      <sz val="8"/>
      <color theme="1"/>
      <name val="Arial Narrow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Manrope"/>
      <family val="2"/>
      <scheme val="minor"/>
    </font>
    <font>
      <b/>
      <sz val="8"/>
      <color theme="1"/>
      <name val="Manrope"/>
      <family val="2"/>
      <scheme val="minor"/>
    </font>
    <font>
      <sz val="9"/>
      <color theme="1"/>
      <name val="Manrope"/>
      <family val="2"/>
      <scheme val="minor"/>
    </font>
    <font>
      <i/>
      <sz val="8"/>
      <color theme="0" tint="-0.499984740745262"/>
      <name val="Manrope"/>
      <family val="2"/>
      <scheme val="minor"/>
    </font>
    <font>
      <i/>
      <sz val="8"/>
      <color theme="0"/>
      <name val="Manrope"/>
      <family val="2"/>
      <scheme val="minor"/>
    </font>
    <font>
      <i/>
      <sz val="10"/>
      <color theme="1"/>
      <name val="Manrope"/>
      <family val="2"/>
      <scheme val="minor"/>
    </font>
    <font>
      <b/>
      <sz val="11"/>
      <color theme="6"/>
      <name val="Manrope"/>
      <family val="2"/>
      <scheme val="minor"/>
    </font>
    <font>
      <sz val="11"/>
      <color theme="6"/>
      <name val="Manrope"/>
      <family val="2"/>
      <scheme val="minor"/>
    </font>
    <font>
      <b/>
      <u/>
      <sz val="14"/>
      <color theme="4"/>
      <name val="Manrope"/>
      <family val="2"/>
      <scheme val="minor"/>
    </font>
    <font>
      <b/>
      <sz val="9"/>
      <color theme="0"/>
      <name val="Calibri"/>
      <family val="2"/>
    </font>
    <font>
      <i/>
      <sz val="8"/>
      <color theme="6"/>
      <name val="Manrope"/>
      <family val="2"/>
      <scheme val="minor"/>
    </font>
    <font>
      <sz val="11"/>
      <color theme="1"/>
      <name val="Manrope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0" xfId="0" applyFont="1"/>
    <xf numFmtId="0" fontId="0" fillId="0" borderId="0" xfId="0" quotePrefix="1"/>
    <xf numFmtId="3" fontId="0" fillId="0" borderId="0" xfId="0" applyNumberFormat="1"/>
    <xf numFmtId="3" fontId="3" fillId="0" borderId="0" xfId="0" applyNumberFormat="1" applyFont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7" fillId="0" borderId="0" xfId="0" applyFont="1"/>
    <xf numFmtId="0" fontId="8" fillId="0" borderId="0" xfId="0" applyFont="1"/>
    <xf numFmtId="0" fontId="0" fillId="2" borderId="0" xfId="0" applyFill="1"/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0" fillId="0" borderId="0" xfId="0" applyNumberFormat="1"/>
    <xf numFmtId="164" fontId="1" fillId="0" borderId="0" xfId="2" applyNumberFormat="1" applyFont="1"/>
    <xf numFmtId="164" fontId="3" fillId="0" borderId="0" xfId="2" applyNumberFormat="1" applyFont="1"/>
    <xf numFmtId="164" fontId="3" fillId="0" borderId="0" xfId="2" applyNumberFormat="1" applyFont="1" applyAlignment="1">
      <alignment horizontal="right"/>
    </xf>
    <xf numFmtId="0" fontId="11" fillId="0" borderId="0" xfId="0" applyFont="1"/>
    <xf numFmtId="4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9" fillId="2" borderId="6" xfId="0" applyFont="1" applyFill="1" applyBorder="1"/>
    <xf numFmtId="10" fontId="12" fillId="0" borderId="0" xfId="0" applyNumberFormat="1" applyFont="1"/>
    <xf numFmtId="165" fontId="0" fillId="0" borderId="0" xfId="0" applyNumberFormat="1"/>
    <xf numFmtId="0" fontId="5" fillId="0" borderId="0" xfId="0" applyFont="1" applyAlignment="1">
      <alignment vertical="top"/>
    </xf>
    <xf numFmtId="165" fontId="3" fillId="0" borderId="0" xfId="2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6" fontId="0" fillId="0" borderId="0" xfId="0" applyNumberFormat="1"/>
    <xf numFmtId="164" fontId="9" fillId="0" borderId="0" xfId="2" applyNumberFormat="1" applyFont="1" applyFill="1" applyBorder="1" applyAlignment="1">
      <alignment horizontal="right"/>
    </xf>
    <xf numFmtId="4" fontId="1" fillId="0" borderId="0" xfId="2" applyNumberFormat="1" applyFont="1"/>
    <xf numFmtId="0" fontId="0" fillId="3" borderId="0" xfId="0" applyFill="1"/>
    <xf numFmtId="164" fontId="1" fillId="0" borderId="0" xfId="2" applyNumberFormat="1" applyFont="1" applyAlignment="1">
      <alignment horizontal="right"/>
    </xf>
    <xf numFmtId="3" fontId="13" fillId="0" borderId="0" xfId="0" applyNumberFormat="1" applyFont="1"/>
    <xf numFmtId="4" fontId="5" fillId="0" borderId="0" xfId="0" applyNumberFormat="1" applyFont="1"/>
    <xf numFmtId="0" fontId="14" fillId="2" borderId="0" xfId="0" applyFont="1" applyFill="1" applyAlignment="1">
      <alignment horizontal="left" vertical="center" indent="5"/>
    </xf>
    <xf numFmtId="0" fontId="15" fillId="0" borderId="0" xfId="0" applyFont="1"/>
    <xf numFmtId="0" fontId="16" fillId="2" borderId="5" xfId="0" applyFont="1" applyFill="1" applyBorder="1"/>
    <xf numFmtId="168" fontId="0" fillId="0" borderId="0" xfId="0" applyNumberFormat="1"/>
    <xf numFmtId="0" fontId="13" fillId="0" borderId="0" xfId="0" applyFont="1"/>
    <xf numFmtId="0" fontId="0" fillId="0" borderId="0" xfId="0" applyAlignment="1">
      <alignment horizontal="left" indent="12"/>
    </xf>
    <xf numFmtId="14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right" wrapText="1"/>
    </xf>
    <xf numFmtId="0" fontId="0" fillId="0" borderId="0" xfId="0" applyAlignment="1">
      <alignment wrapText="1"/>
    </xf>
    <xf numFmtId="9" fontId="3" fillId="0" borderId="0" xfId="2" applyFont="1"/>
    <xf numFmtId="164" fontId="0" fillId="0" borderId="0" xfId="2" applyNumberFormat="1" applyFont="1" applyAlignment="1">
      <alignment horizontal="right"/>
    </xf>
    <xf numFmtId="3" fontId="8" fillId="0" borderId="0" xfId="0" applyNumberFormat="1" applyFont="1" applyAlignment="1">
      <alignment horizontal="left" vertical="top"/>
    </xf>
    <xf numFmtId="164" fontId="13" fillId="2" borderId="0" xfId="2" applyNumberFormat="1" applyFont="1" applyFill="1"/>
    <xf numFmtId="164" fontId="13" fillId="0" borderId="0" xfId="2" applyNumberFormat="1" applyFont="1" applyFill="1"/>
    <xf numFmtId="164" fontId="0" fillId="0" borderId="0" xfId="2" applyNumberFormat="1" applyFont="1"/>
    <xf numFmtId="0" fontId="16" fillId="2" borderId="0" xfId="0" applyFont="1" applyFill="1" applyAlignment="1">
      <alignment wrapText="1"/>
    </xf>
    <xf numFmtId="164" fontId="1" fillId="0" borderId="0" xfId="2" applyNumberFormat="1" applyFont="1" applyFill="1"/>
    <xf numFmtId="9" fontId="0" fillId="0" borderId="0" xfId="2" applyFont="1"/>
    <xf numFmtId="0" fontId="20" fillId="0" borderId="0" xfId="0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right"/>
    </xf>
    <xf numFmtId="10" fontId="13" fillId="0" borderId="0" xfId="2" applyNumberFormat="1" applyFont="1" applyFill="1"/>
    <xf numFmtId="9" fontId="1" fillId="0" borderId="0" xfId="2" applyFont="1" applyFill="1"/>
    <xf numFmtId="0" fontId="21" fillId="0" borderId="0" xfId="0" applyFont="1"/>
    <xf numFmtId="3" fontId="21" fillId="0" borderId="0" xfId="0" applyNumberFormat="1" applyFont="1"/>
    <xf numFmtId="164" fontId="0" fillId="0" borderId="0" xfId="2" applyNumberFormat="1" applyFont="1" applyFill="1"/>
    <xf numFmtId="0" fontId="13" fillId="0" borderId="0" xfId="0" applyFont="1" applyAlignment="1">
      <alignment horizontal="left" indent="2"/>
    </xf>
    <xf numFmtId="14" fontId="22" fillId="0" borderId="0" xfId="0" applyNumberFormat="1" applyFont="1"/>
    <xf numFmtId="0" fontId="22" fillId="0" borderId="0" xfId="0" applyFont="1"/>
    <xf numFmtId="170" fontId="0" fillId="0" borderId="0" xfId="0" applyNumberFormat="1"/>
    <xf numFmtId="0" fontId="17" fillId="0" borderId="0" xfId="0" applyFont="1" applyAlignment="1">
      <alignment horizontal="left" vertical="top" wrapText="1"/>
    </xf>
    <xf numFmtId="0" fontId="16" fillId="2" borderId="0" xfId="0" applyFont="1" applyFill="1" applyAlignment="1">
      <alignment horizontal="left" vertical="center" wrapText="1"/>
    </xf>
    <xf numFmtId="14" fontId="23" fillId="0" borderId="0" xfId="0" applyNumberFormat="1" applyFont="1"/>
    <xf numFmtId="0" fontId="0" fillId="0" borderId="0" xfId="0" applyAlignment="1">
      <alignment horizontal="left" wrapText="1"/>
    </xf>
    <xf numFmtId="0" fontId="9" fillId="2" borderId="0" xfId="0" applyFont="1" applyFill="1"/>
    <xf numFmtId="165" fontId="13" fillId="0" borderId="0" xfId="2" applyNumberFormat="1" applyFont="1" applyFill="1" applyAlignment="1">
      <alignment horizontal="right"/>
    </xf>
    <xf numFmtId="164" fontId="0" fillId="0" borderId="0" xfId="2" applyNumberFormat="1" applyFont="1" applyFill="1" applyAlignment="1">
      <alignment horizontal="right"/>
    </xf>
    <xf numFmtId="170" fontId="5" fillId="0" borderId="0" xfId="0" applyNumberFormat="1" applyFont="1"/>
    <xf numFmtId="170" fontId="21" fillId="0" borderId="0" xfId="0" applyNumberFormat="1" applyFont="1"/>
    <xf numFmtId="14" fontId="3" fillId="0" borderId="2" xfId="0" applyNumberFormat="1" applyFont="1" applyBorder="1" applyAlignment="1">
      <alignment horizontal="right" wrapText="1"/>
    </xf>
    <xf numFmtId="0" fontId="24" fillId="0" borderId="0" xfId="0" applyFont="1" applyAlignment="1">
      <alignment vertical="center"/>
    </xf>
    <xf numFmtId="0" fontId="25" fillId="2" borderId="0" xfId="1" applyFont="1" applyFill="1" applyAlignment="1">
      <alignment horizontal="left" vertical="center"/>
    </xf>
    <xf numFmtId="0" fontId="26" fillId="2" borderId="0" xfId="0" applyFont="1" applyFill="1"/>
    <xf numFmtId="0" fontId="27" fillId="2" borderId="0" xfId="0" applyFont="1" applyFill="1" applyAlignment="1">
      <alignment horizontal="left" vertical="center"/>
    </xf>
    <xf numFmtId="0" fontId="9" fillId="4" borderId="0" xfId="0" applyFont="1" applyFill="1"/>
    <xf numFmtId="0" fontId="10" fillId="4" borderId="0" xfId="0" applyFont="1" applyFill="1"/>
    <xf numFmtId="3" fontId="10" fillId="4" borderId="0" xfId="0" applyNumberFormat="1" applyFont="1" applyFill="1"/>
    <xf numFmtId="164" fontId="10" fillId="4" borderId="0" xfId="0" applyNumberFormat="1" applyFont="1" applyFill="1"/>
    <xf numFmtId="3" fontId="9" fillId="4" borderId="0" xfId="0" applyNumberFormat="1" applyFont="1" applyFill="1"/>
    <xf numFmtId="164" fontId="9" fillId="4" borderId="0" xfId="0" applyNumberFormat="1" applyFont="1" applyFill="1"/>
    <xf numFmtId="164" fontId="9" fillId="4" borderId="0" xfId="2" applyNumberFormat="1" applyFont="1" applyFill="1"/>
    <xf numFmtId="164" fontId="9" fillId="4" borderId="0" xfId="2" applyNumberFormat="1" applyFont="1" applyFill="1" applyAlignment="1">
      <alignment horizontal="right"/>
    </xf>
    <xf numFmtId="165" fontId="9" fillId="4" borderId="0" xfId="2" applyNumberFormat="1" applyFont="1" applyFill="1" applyAlignment="1">
      <alignment horizontal="right"/>
    </xf>
    <xf numFmtId="14" fontId="9" fillId="4" borderId="0" xfId="0" applyNumberFormat="1" applyFont="1" applyFill="1"/>
    <xf numFmtId="165" fontId="9" fillId="4" borderId="0" xfId="0" applyNumberFormat="1" applyFont="1" applyFill="1"/>
    <xf numFmtId="170" fontId="9" fillId="4" borderId="0" xfId="0" applyNumberFormat="1" applyFont="1" applyFill="1"/>
    <xf numFmtId="4" fontId="9" fillId="4" borderId="0" xfId="0" applyNumberFormat="1" applyFont="1" applyFill="1" applyAlignment="1">
      <alignment horizontal="right"/>
    </xf>
    <xf numFmtId="4" fontId="9" fillId="4" borderId="0" xfId="0" applyNumberFormat="1" applyFont="1" applyFill="1"/>
    <xf numFmtId="0" fontId="29" fillId="0" borderId="0" xfId="0" applyFont="1"/>
    <xf numFmtId="4" fontId="9" fillId="4" borderId="0" xfId="2" applyNumberFormat="1" applyFont="1" applyFill="1"/>
    <xf numFmtId="3" fontId="9" fillId="4" borderId="0" xfId="2" applyNumberFormat="1" applyFont="1" applyFill="1"/>
    <xf numFmtId="169" fontId="9" fillId="4" borderId="0" xfId="2" applyNumberFormat="1" applyFont="1" applyFill="1"/>
    <xf numFmtId="164" fontId="9" fillId="4" borderId="0" xfId="2" applyNumberFormat="1" applyFont="1" applyFill="1" applyBorder="1" applyAlignment="1">
      <alignment horizontal="right"/>
    </xf>
    <xf numFmtId="0" fontId="9" fillId="4" borderId="5" xfId="0" applyFont="1" applyFill="1" applyBorder="1"/>
    <xf numFmtId="0" fontId="9" fillId="5" borderId="0" xfId="0" applyFont="1" applyFill="1"/>
    <xf numFmtId="3" fontId="9" fillId="5" borderId="0" xfId="0" applyNumberFormat="1" applyFont="1" applyFill="1"/>
    <xf numFmtId="164" fontId="9" fillId="5" borderId="0" xfId="2" applyNumberFormat="1" applyFont="1" applyFill="1"/>
    <xf numFmtId="0" fontId="9" fillId="5" borderId="4" xfId="0" applyFont="1" applyFill="1" applyBorder="1"/>
    <xf numFmtId="3" fontId="9" fillId="5" borderId="4" xfId="0" applyNumberFormat="1" applyFont="1" applyFill="1" applyBorder="1"/>
    <xf numFmtId="164" fontId="9" fillId="5" borderId="4" xfId="2" applyNumberFormat="1" applyFont="1" applyFill="1" applyBorder="1"/>
    <xf numFmtId="0" fontId="9" fillId="5" borderId="0" xfId="0" applyFont="1" applyFill="1" applyAlignment="1">
      <alignment horizontal="left" indent="1"/>
    </xf>
    <xf numFmtId="0" fontId="9" fillId="5" borderId="0" xfId="0" applyFont="1" applyFill="1" applyAlignment="1">
      <alignment horizontal="left" indent="2"/>
    </xf>
    <xf numFmtId="0" fontId="9" fillId="5" borderId="5" xfId="0" applyFont="1" applyFill="1" applyBorder="1"/>
    <xf numFmtId="3" fontId="9" fillId="5" borderId="5" xfId="0" applyNumberFormat="1" applyFont="1" applyFill="1" applyBorder="1"/>
    <xf numFmtId="164" fontId="9" fillId="5" borderId="5" xfId="2" applyNumberFormat="1" applyFont="1" applyFill="1" applyBorder="1"/>
    <xf numFmtId="164" fontId="30" fillId="0" borderId="0" xfId="2" applyNumberFormat="1" applyFont="1" applyAlignment="1">
      <alignment horizontal="right"/>
    </xf>
    <xf numFmtId="3" fontId="9" fillId="5" borderId="0" xfId="2" applyNumberFormat="1" applyFont="1" applyFill="1" applyAlignment="1">
      <alignment horizontal="right"/>
    </xf>
    <xf numFmtId="164" fontId="9" fillId="5" borderId="0" xfId="2" applyNumberFormat="1" applyFont="1" applyFill="1" applyAlignment="1">
      <alignment horizontal="right"/>
    </xf>
    <xf numFmtId="3" fontId="9" fillId="5" borderId="5" xfId="2" applyNumberFormat="1" applyFont="1" applyFill="1" applyBorder="1" applyAlignment="1">
      <alignment horizontal="right"/>
    </xf>
    <xf numFmtId="164" fontId="9" fillId="5" borderId="5" xfId="2" applyNumberFormat="1" applyFont="1" applyFill="1" applyBorder="1" applyAlignment="1">
      <alignment horizontal="right"/>
    </xf>
    <xf numFmtId="165" fontId="9" fillId="5" borderId="0" xfId="2" applyNumberFormat="1" applyFont="1" applyFill="1" applyAlignment="1">
      <alignment horizontal="right"/>
    </xf>
    <xf numFmtId="165" fontId="9" fillId="5" borderId="5" xfId="2" applyNumberFormat="1" applyFont="1" applyFill="1" applyBorder="1" applyAlignment="1">
      <alignment horizontal="right"/>
    </xf>
    <xf numFmtId="170" fontId="9" fillId="5" borderId="0" xfId="0" applyNumberFormat="1" applyFont="1" applyFill="1"/>
    <xf numFmtId="4" fontId="9" fillId="5" borderId="0" xfId="2" applyNumberFormat="1" applyFont="1" applyFill="1"/>
    <xf numFmtId="4" fontId="9" fillId="5" borderId="0" xfId="0" applyNumberFormat="1" applyFont="1" applyFill="1"/>
    <xf numFmtId="0" fontId="9" fillId="5" borderId="6" xfId="0" applyFont="1" applyFill="1" applyBorder="1"/>
    <xf numFmtId="3" fontId="9" fillId="5" borderId="6" xfId="0" applyNumberFormat="1" applyFont="1" applyFill="1" applyBorder="1"/>
    <xf numFmtId="4" fontId="9" fillId="5" borderId="6" xfId="0" applyNumberFormat="1" applyFont="1" applyFill="1" applyBorder="1"/>
    <xf numFmtId="164" fontId="9" fillId="5" borderId="0" xfId="0" applyNumberFormat="1" applyFont="1" applyFill="1"/>
    <xf numFmtId="169" fontId="9" fillId="5" borderId="0" xfId="0" applyNumberFormat="1" applyFont="1" applyFill="1"/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6" fillId="2" borderId="0" xfId="0" applyFont="1" applyFill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unicajabanco.com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71262</xdr:rowOff>
    </xdr:from>
    <xdr:to>
      <xdr:col>1</xdr:col>
      <xdr:colOff>3038475</xdr:colOff>
      <xdr:row>1</xdr:row>
      <xdr:rowOff>195437</xdr:rowOff>
    </xdr:to>
    <xdr:pic>
      <xdr:nvPicPr>
        <xdr:cNvPr id="1025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/>
        <a:stretch/>
      </xdr:blipFill>
      <xdr:spPr bwMode="auto">
        <a:xfrm>
          <a:off x="2600325" y="71262"/>
          <a:ext cx="1428750" cy="6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214032</xdr:colOff>
      <xdr:row>0</xdr:row>
      <xdr:rowOff>94130</xdr:rowOff>
    </xdr:from>
    <xdr:to>
      <xdr:col>7</xdr:col>
      <xdr:colOff>156882</xdr:colOff>
      <xdr:row>2</xdr:row>
      <xdr:rowOff>86286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408208" y="94130"/>
          <a:ext cx="704850" cy="395568"/>
        </a:xfrm>
        <a:prstGeom prst="rect">
          <a:avLst/>
        </a:prstGeom>
        <a:solidFill>
          <a:schemeClr val="accent4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705975</xdr:colOff>
      <xdr:row>1</xdr:row>
      <xdr:rowOff>0</xdr:rowOff>
    </xdr:from>
    <xdr:to>
      <xdr:col>7</xdr:col>
      <xdr:colOff>693649</xdr:colOff>
      <xdr:row>2</xdr:row>
      <xdr:rowOff>203387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9300887" y="212912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247650</xdr:colOff>
      <xdr:row>1</xdr:row>
      <xdr:rowOff>190500</xdr:rowOff>
    </xdr:from>
    <xdr:to>
      <xdr:col>21</xdr:col>
      <xdr:colOff>190500</xdr:colOff>
      <xdr:row>4</xdr:row>
      <xdr:rowOff>3362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0496550" y="190500"/>
          <a:ext cx="704850" cy="393887"/>
        </a:xfrm>
        <a:prstGeom prst="rect">
          <a:avLst/>
        </a:prstGeom>
        <a:solidFill>
          <a:schemeClr val="accent4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180975</xdr:rowOff>
    </xdr:from>
    <xdr:to>
      <xdr:col>9</xdr:col>
      <xdr:colOff>123825</xdr:colOff>
      <xdr:row>2</xdr:row>
      <xdr:rowOff>174812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715250" y="180975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0</xdr:row>
      <xdr:rowOff>123825</xdr:rowOff>
    </xdr:from>
    <xdr:to>
      <xdr:col>8</xdr:col>
      <xdr:colOff>171450</xdr:colOff>
      <xdr:row>2</xdr:row>
      <xdr:rowOff>117662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9048750" y="123825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190500</xdr:rowOff>
    </xdr:from>
    <xdr:to>
      <xdr:col>7</xdr:col>
      <xdr:colOff>257175</xdr:colOff>
      <xdr:row>2</xdr:row>
      <xdr:rowOff>193862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134225" y="190500"/>
          <a:ext cx="704850" cy="393887"/>
        </a:xfrm>
        <a:prstGeom prst="rect">
          <a:avLst/>
        </a:prstGeom>
        <a:solidFill>
          <a:schemeClr val="accent4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663543</xdr:colOff>
      <xdr:row>1</xdr:row>
      <xdr:rowOff>133350</xdr:rowOff>
    </xdr:from>
    <xdr:to>
      <xdr:col>7</xdr:col>
      <xdr:colOff>606393</xdr:colOff>
      <xdr:row>3</xdr:row>
      <xdr:rowOff>136712</xdr:rowOff>
    </xdr:to>
    <xdr:sp macro="" textlink="">
      <xdr:nvSpPr>
        <xdr:cNvPr id="5" name="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373626" y="334433"/>
          <a:ext cx="704850" cy="394946"/>
        </a:xfrm>
        <a:prstGeom prst="rect">
          <a:avLst/>
        </a:prstGeom>
        <a:ln>
          <a:solidFill>
            <a:schemeClr val="bg1"/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305369</xdr:colOff>
      <xdr:row>1</xdr:row>
      <xdr:rowOff>47625</xdr:rowOff>
    </xdr:from>
    <xdr:to>
      <xdr:col>7</xdr:col>
      <xdr:colOff>248219</xdr:colOff>
      <xdr:row>3</xdr:row>
      <xdr:rowOff>50987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774340" y="249331"/>
          <a:ext cx="704850" cy="395568"/>
        </a:xfrm>
        <a:prstGeom prst="rect">
          <a:avLst/>
        </a:prstGeom>
        <a:solidFill>
          <a:schemeClr val="accent4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494189</xdr:colOff>
      <xdr:row>1</xdr:row>
      <xdr:rowOff>142875</xdr:rowOff>
    </xdr:from>
    <xdr:to>
      <xdr:col>7</xdr:col>
      <xdr:colOff>437039</xdr:colOff>
      <xdr:row>3</xdr:row>
      <xdr:rowOff>146237</xdr:rowOff>
    </xdr:to>
    <xdr:sp macro="" textlink="">
      <xdr:nvSpPr>
        <xdr:cNvPr id="7" name="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383130" y="344581"/>
          <a:ext cx="592791" cy="395568"/>
        </a:xfrm>
        <a:prstGeom prst="rect">
          <a:avLst/>
        </a:prstGeom>
        <a:solidFill>
          <a:schemeClr val="accent4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261665</xdr:colOff>
      <xdr:row>1</xdr:row>
      <xdr:rowOff>39220</xdr:rowOff>
    </xdr:from>
    <xdr:to>
      <xdr:col>7</xdr:col>
      <xdr:colOff>204515</xdr:colOff>
      <xdr:row>3</xdr:row>
      <xdr:rowOff>33057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150606" y="240926"/>
          <a:ext cx="704850" cy="397249"/>
        </a:xfrm>
        <a:prstGeom prst="rect">
          <a:avLst/>
        </a:prstGeom>
        <a:solidFill>
          <a:schemeClr val="accent4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238133</xdr:colOff>
      <xdr:row>1</xdr:row>
      <xdr:rowOff>42582</xdr:rowOff>
    </xdr:from>
    <xdr:to>
      <xdr:col>7</xdr:col>
      <xdr:colOff>180983</xdr:colOff>
      <xdr:row>3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62958" y="242607"/>
          <a:ext cx="704850" cy="393887"/>
        </a:xfrm>
        <a:prstGeom prst="rect">
          <a:avLst/>
        </a:prstGeom>
        <a:solidFill>
          <a:schemeClr val="accent4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238133</xdr:colOff>
      <xdr:row>1</xdr:row>
      <xdr:rowOff>42582</xdr:rowOff>
    </xdr:from>
    <xdr:to>
      <xdr:col>7</xdr:col>
      <xdr:colOff>180983</xdr:colOff>
      <xdr:row>3</xdr:row>
      <xdr:rowOff>45944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149486" y="244288"/>
          <a:ext cx="704850" cy="395568"/>
        </a:xfrm>
        <a:prstGeom prst="rect">
          <a:avLst/>
        </a:prstGeom>
        <a:solidFill>
          <a:schemeClr val="accent4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0</xdr:row>
      <xdr:rowOff>171450</xdr:rowOff>
    </xdr:from>
    <xdr:to>
      <xdr:col>11</xdr:col>
      <xdr:colOff>257175</xdr:colOff>
      <xdr:row>2</xdr:row>
      <xdr:rowOff>165287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58050" y="171450"/>
          <a:ext cx="771525" cy="393887"/>
        </a:xfrm>
        <a:prstGeom prst="rect">
          <a:avLst/>
        </a:prstGeom>
        <a:solidFill>
          <a:schemeClr val="accent4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91335</xdr:colOff>
      <xdr:row>1</xdr:row>
      <xdr:rowOff>57150</xdr:rowOff>
    </xdr:from>
    <xdr:to>
      <xdr:col>7</xdr:col>
      <xdr:colOff>34184</xdr:colOff>
      <xdr:row>3</xdr:row>
      <xdr:rowOff>0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50923" y="258856"/>
          <a:ext cx="660026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UB2024">
  <a:themeElements>
    <a:clrScheme name="Unicaja template">
      <a:dk1>
        <a:sysClr val="windowText" lastClr="000000"/>
      </a:dk1>
      <a:lt1>
        <a:srgbClr val="FFFFFF"/>
      </a:lt1>
      <a:dk2>
        <a:srgbClr val="0C0C0C"/>
      </a:dk2>
      <a:lt2>
        <a:srgbClr val="FFFFFF"/>
      </a:lt2>
      <a:accent1>
        <a:srgbClr val="2BD124"/>
      </a:accent1>
      <a:accent2>
        <a:srgbClr val="A2ED9F"/>
      </a:accent2>
      <a:accent3>
        <a:srgbClr val="005265"/>
      </a:accent3>
      <a:accent4>
        <a:srgbClr val="386785"/>
      </a:accent4>
      <a:accent5>
        <a:srgbClr val="F4743B"/>
      </a:accent5>
      <a:accent6>
        <a:srgbClr val="BEEF62"/>
      </a:accent6>
      <a:hlink>
        <a:srgbClr val="EDB587"/>
      </a:hlink>
      <a:folHlink>
        <a:srgbClr val="F4743B"/>
      </a:folHlink>
    </a:clrScheme>
    <a:fontScheme name="Manrope">
      <a:majorFont>
        <a:latin typeface="Manrope"/>
        <a:ea typeface=""/>
        <a:cs typeface=""/>
      </a:majorFont>
      <a:minorFont>
        <a:latin typeface="Manro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showGridLines="0" showRowColHeaders="0" tabSelected="1" zoomScaleNormal="100" workbookViewId="0">
      <selection activeCell="F5" sqref="F5"/>
    </sheetView>
  </sheetViews>
  <sheetFormatPr baseColWidth="10" defaultColWidth="11.44140625" defaultRowHeight="17.25" x14ac:dyDescent="0.35"/>
  <cols>
    <col min="1" max="1" width="11.5546875" style="20" customWidth="1"/>
    <col min="2" max="2" width="41.6640625" style="20" customWidth="1"/>
    <col min="3" max="3" width="11.5546875" style="20" customWidth="1"/>
  </cols>
  <sheetData>
    <row r="1" spans="2:2" ht="37.5" customHeight="1" x14ac:dyDescent="0.35">
      <c r="B1" s="88" t="s">
        <v>2</v>
      </c>
    </row>
    <row r="2" spans="2:2" ht="21" x14ac:dyDescent="0.35">
      <c r="B2" s="45"/>
    </row>
    <row r="3" spans="2:2" ht="20.100000000000001" customHeight="1" x14ac:dyDescent="0.35">
      <c r="B3" s="86" t="s">
        <v>9</v>
      </c>
    </row>
    <row r="4" spans="2:2" ht="20.100000000000001" customHeight="1" x14ac:dyDescent="0.35">
      <c r="B4" s="86" t="s">
        <v>10</v>
      </c>
    </row>
    <row r="5" spans="2:2" ht="20.100000000000001" customHeight="1" x14ac:dyDescent="0.35">
      <c r="B5" s="86" t="s">
        <v>11</v>
      </c>
    </row>
    <row r="6" spans="2:2" ht="20.100000000000001" customHeight="1" x14ac:dyDescent="0.35">
      <c r="B6" s="86" t="s">
        <v>12</v>
      </c>
    </row>
    <row r="7" spans="2:2" s="20" customFormat="1" ht="20.100000000000001" customHeight="1" x14ac:dyDescent="0.35">
      <c r="B7" s="86" t="s">
        <v>216</v>
      </c>
    </row>
    <row r="8" spans="2:2" s="20" customFormat="1" ht="20.100000000000001" customHeight="1" x14ac:dyDescent="0.35">
      <c r="B8" s="86" t="s">
        <v>209</v>
      </c>
    </row>
    <row r="9" spans="2:2" s="20" customFormat="1" ht="20.100000000000001" customHeight="1" x14ac:dyDescent="0.35">
      <c r="B9" s="86" t="s">
        <v>210</v>
      </c>
    </row>
    <row r="10" spans="2:2" s="20" customFormat="1" ht="20.100000000000001" customHeight="1" x14ac:dyDescent="0.35">
      <c r="B10" s="86" t="s">
        <v>211</v>
      </c>
    </row>
    <row r="11" spans="2:2" s="20" customFormat="1" ht="20.100000000000001" customHeight="1" x14ac:dyDescent="0.35">
      <c r="B11" s="86" t="s">
        <v>212</v>
      </c>
    </row>
    <row r="12" spans="2:2" s="20" customFormat="1" ht="20.100000000000001" customHeight="1" x14ac:dyDescent="0.35">
      <c r="B12" s="86" t="s">
        <v>213</v>
      </c>
    </row>
    <row r="13" spans="2:2" s="20" customFormat="1" ht="20.100000000000001" customHeight="1" x14ac:dyDescent="0.35">
      <c r="B13" s="86" t="s">
        <v>214</v>
      </c>
    </row>
    <row r="14" spans="2:2" s="20" customFormat="1" ht="20.100000000000001" customHeight="1" x14ac:dyDescent="0.35">
      <c r="B14" s="86" t="s">
        <v>215</v>
      </c>
    </row>
    <row r="15" spans="2:2" s="20" customFormat="1" ht="20.100000000000001" customHeight="1" x14ac:dyDescent="0.35">
      <c r="B15" s="86" t="s">
        <v>222</v>
      </c>
    </row>
    <row r="16" spans="2:2" s="20" customFormat="1" ht="20.100000000000001" customHeight="1" x14ac:dyDescent="0.35">
      <c r="B16" s="86" t="s">
        <v>223</v>
      </c>
    </row>
    <row r="17" spans="2:2" x14ac:dyDescent="0.35">
      <c r="B17" s="86"/>
    </row>
    <row r="18" spans="2:2" x14ac:dyDescent="0.35">
      <c r="B18" s="87"/>
    </row>
  </sheetData>
  <hyperlinks>
    <hyperlink ref="B3" location="Relevantes!A1" display="1. Datos Relevantes " xr:uid="{00000000-0004-0000-0000-000000000000}"/>
    <hyperlink ref="B4" location="Balance!A1" display="2. Total Balance" xr:uid="{00000000-0004-0000-0000-000001000000}"/>
    <hyperlink ref="B5" location="Recursos!A1" display="3. Recursos" xr:uid="{00000000-0004-0000-0000-000002000000}"/>
    <hyperlink ref="B6" location="'Credito Performing'!A1" display="4. Crédito performing" xr:uid="{00000000-0004-0000-0000-000003000000}"/>
    <hyperlink ref="B8" location="'Dudosos (I)'!A1" display="5. Dudosos (I)" xr:uid="{00000000-0004-0000-0000-000004000000}"/>
    <hyperlink ref="B10" location="'Adjudicados (I)'!A1" display="7. Adjudicados (I)" xr:uid="{00000000-0004-0000-0000-000005000000}"/>
    <hyperlink ref="B12" location="Resultados!A1" display="9. Resultados" xr:uid="{00000000-0004-0000-0000-000006000000}"/>
    <hyperlink ref="B13" location="'Rend &amp; Costes'!A1" display="10. Rendimientos y costes" xr:uid="{00000000-0004-0000-0000-000007000000}"/>
    <hyperlink ref="B14" location="Comisiones!A1" display="11. Comisiones" xr:uid="{00000000-0004-0000-0000-000008000000}"/>
    <hyperlink ref="B9" location="'Dudosos (II)'!A1" display="6. Dudosos (II)" xr:uid="{00000000-0004-0000-0000-000009000000}"/>
    <hyperlink ref="B11" location="'Adjudicados (II)'!A1" display="8. Adjudicados (II)" xr:uid="{00000000-0004-0000-0000-00000A000000}"/>
    <hyperlink ref="B7" location="'Riesgo de crédito por Stage'!A1" display="5. Riesgo de crédito por Stage" xr:uid="{00000000-0004-0000-0000-00000B000000}"/>
    <hyperlink ref="B15" location="'Dudosos (II)'!A1" display="6. Dudosos (II)" xr:uid="{00000000-0004-0000-0000-00000C000000}"/>
    <hyperlink ref="B16" location="Solvencia!Área_de_impresión" display="14. Solvencia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72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7.25" x14ac:dyDescent="0.35"/>
  <cols>
    <col min="1" max="1" width="51.44140625" customWidth="1"/>
    <col min="2" max="4" width="11.5546875" customWidth="1"/>
  </cols>
  <sheetData>
    <row r="1" spans="1:6" ht="18" x14ac:dyDescent="0.35">
      <c r="A1" s="18" t="s">
        <v>121</v>
      </c>
      <c r="B1" s="77">
        <f>'Adjudicados (I)'!B2</f>
        <v>45382</v>
      </c>
      <c r="C1" s="77">
        <f>'Adjudicados (I)'!C2</f>
        <v>45291</v>
      </c>
      <c r="D1" s="77">
        <f>+EOMONTH(C1,-3)</f>
        <v>45199</v>
      </c>
      <c r="E1" s="77">
        <f>+EOMONTH(D1,-3)</f>
        <v>45107</v>
      </c>
      <c r="F1" s="77">
        <f>'Adjudicados (I)'!D2</f>
        <v>45016</v>
      </c>
    </row>
    <row r="2" spans="1:6" ht="18" thickBot="1" x14ac:dyDescent="0.4">
      <c r="A2" s="19" t="s">
        <v>48</v>
      </c>
      <c r="B2" s="21" t="str">
        <f>MONTH(B1)/3&amp;"T "&amp;YEAR(B1)</f>
        <v>1T 2024</v>
      </c>
      <c r="C2" s="21" t="str">
        <f t="shared" ref="C2" si="0">MONTH(C1)/3&amp;"T "&amp;YEAR(C1)</f>
        <v>4T 2023</v>
      </c>
      <c r="D2" s="21" t="str">
        <f t="shared" ref="D2:E2" si="1">MONTH(D1)/3&amp;"T "&amp;YEAR(D1)</f>
        <v>3T 2023</v>
      </c>
      <c r="E2" s="21" t="str">
        <f t="shared" si="1"/>
        <v>2T 2023</v>
      </c>
      <c r="F2" s="21" t="str">
        <f>MONTH(F1)/3&amp;"T "&amp;YEAR(F1)</f>
        <v>1T 2023</v>
      </c>
    </row>
    <row r="3" spans="1:6" x14ac:dyDescent="0.35">
      <c r="A3" s="1" t="s">
        <v>122</v>
      </c>
      <c r="B3" s="1"/>
      <c r="C3" s="1"/>
      <c r="D3" s="1"/>
      <c r="E3" s="1"/>
      <c r="F3" s="1"/>
    </row>
    <row r="4" spans="1:6" x14ac:dyDescent="0.35">
      <c r="A4" s="109" t="s">
        <v>123</v>
      </c>
      <c r="B4" s="110">
        <v>1253.4947420300018</v>
      </c>
      <c r="C4" s="110">
        <v>1597.3278418099956</v>
      </c>
      <c r="D4" s="110">
        <v>1698.2551229599917</v>
      </c>
      <c r="E4" s="110">
        <v>1790.4084386699935</v>
      </c>
      <c r="F4" s="110">
        <v>1833.068554679985</v>
      </c>
    </row>
    <row r="5" spans="1:6" x14ac:dyDescent="0.35">
      <c r="A5" t="s">
        <v>111</v>
      </c>
      <c r="B5" s="12">
        <v>15.615248789998169</v>
      </c>
      <c r="C5" s="12">
        <v>25.386692620006215</v>
      </c>
      <c r="D5" s="12">
        <v>15.83372688000342</v>
      </c>
      <c r="E5" s="12">
        <v>27.624684069998121</v>
      </c>
      <c r="F5" s="12">
        <v>45.353614870008485</v>
      </c>
    </row>
    <row r="6" spans="1:6" x14ac:dyDescent="0.35">
      <c r="A6" t="s">
        <v>275</v>
      </c>
      <c r="B6" s="12">
        <v>-0.70165325000000001</v>
      </c>
      <c r="C6" s="12">
        <v>31.643631490000004</v>
      </c>
      <c r="D6" s="12">
        <v>-0.85726833999999918</v>
      </c>
      <c r="E6" s="12">
        <v>-3.8723444699999989</v>
      </c>
      <c r="F6" s="12">
        <v>-4.4130486600000003</v>
      </c>
    </row>
    <row r="7" spans="1:6" x14ac:dyDescent="0.35">
      <c r="A7" t="s">
        <v>112</v>
      </c>
      <c r="B7" s="12">
        <v>-66.273071309999992</v>
      </c>
      <c r="C7" s="12">
        <v>-171.54286711999998</v>
      </c>
      <c r="D7" s="12">
        <v>-115.90373968999955</v>
      </c>
      <c r="E7" s="12">
        <v>-115.90565530999996</v>
      </c>
      <c r="F7" s="12">
        <v>-83.600682219999982</v>
      </c>
    </row>
    <row r="8" spans="1:6" x14ac:dyDescent="0.35">
      <c r="A8" t="s">
        <v>274</v>
      </c>
      <c r="B8" s="12">
        <v>0</v>
      </c>
      <c r="C8" s="12">
        <v>-229.32055677</v>
      </c>
      <c r="D8" s="12">
        <v>0</v>
      </c>
      <c r="E8" s="12">
        <v>0</v>
      </c>
      <c r="F8" s="12">
        <v>0</v>
      </c>
    </row>
    <row r="9" spans="1:6" x14ac:dyDescent="0.35">
      <c r="A9" s="89" t="s">
        <v>124</v>
      </c>
      <c r="B9" s="93">
        <v>1202.13526626</v>
      </c>
      <c r="C9" s="93">
        <v>1253.4947420300018</v>
      </c>
      <c r="D9" s="93">
        <v>1597.3278418099956</v>
      </c>
      <c r="E9" s="93">
        <v>1698.2551229599917</v>
      </c>
      <c r="F9" s="93">
        <v>1790.4084386699935</v>
      </c>
    </row>
    <row r="10" spans="1:6" x14ac:dyDescent="0.35">
      <c r="A10" s="1" t="s">
        <v>125</v>
      </c>
      <c r="B10" s="54">
        <f>-B7/B4</f>
        <v>5.28706416451915E-2</v>
      </c>
      <c r="C10" s="54">
        <f>-C7/C4</f>
        <v>0.10739364996331495</v>
      </c>
      <c r="D10" s="54">
        <f>-D7/D4</f>
        <v>6.8248720774051849E-2</v>
      </c>
      <c r="E10" s="54">
        <f>-E7/E4</f>
        <v>6.4736991184034282E-2</v>
      </c>
      <c r="F10" s="54">
        <f t="shared" ref="F10" si="2">-F7/F4</f>
        <v>4.5606958892268429E-2</v>
      </c>
    </row>
    <row r="11" spans="1:6" x14ac:dyDescent="0.35">
      <c r="B11" s="68"/>
      <c r="C11" s="68"/>
      <c r="D11" s="68"/>
    </row>
    <row r="72" spans="1:4" x14ac:dyDescent="0.35">
      <c r="A72" s="41"/>
      <c r="B72" s="41"/>
      <c r="C72" s="41"/>
      <c r="D72" s="41"/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7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7.25" x14ac:dyDescent="0.35"/>
  <cols>
    <col min="1" max="1" width="72.77734375" customWidth="1"/>
    <col min="2" max="2" width="11.6640625" customWidth="1"/>
    <col min="3" max="5" width="11.33203125" customWidth="1"/>
    <col min="6" max="8" width="10.77734375" customWidth="1"/>
  </cols>
  <sheetData>
    <row r="1" spans="1:5" ht="16.5" customHeight="1" x14ac:dyDescent="0.35">
      <c r="A1" s="46" t="s">
        <v>13</v>
      </c>
      <c r="B1" s="46"/>
      <c r="D1" s="136" t="s">
        <v>126</v>
      </c>
      <c r="E1" s="136"/>
    </row>
    <row r="2" spans="1:5" x14ac:dyDescent="0.35">
      <c r="A2" s="19" t="s">
        <v>48</v>
      </c>
      <c r="B2" s="8">
        <f>MAX(Relevantes!$2:$2)</f>
        <v>45382</v>
      </c>
      <c r="C2" s="8">
        <f>EOMONTH(B2,-12)</f>
        <v>45016</v>
      </c>
      <c r="D2" s="9" t="s">
        <v>127</v>
      </c>
      <c r="E2" s="9" t="s">
        <v>128</v>
      </c>
    </row>
    <row r="3" spans="1:5" ht="22.5" customHeight="1" x14ac:dyDescent="0.35">
      <c r="A3" t="s">
        <v>129</v>
      </c>
      <c r="B3" s="12">
        <v>692.24041799999998</v>
      </c>
      <c r="C3" s="12">
        <v>482.27079163000002</v>
      </c>
      <c r="D3" s="12">
        <f t="shared" ref="D3:D26" si="0">+B3-C3</f>
        <v>209.96962636999996</v>
      </c>
      <c r="E3" s="59">
        <f t="shared" ref="E3:E23" si="1">+D3/C3</f>
        <v>0.43537703301569514</v>
      </c>
    </row>
    <row r="4" spans="1:5" x14ac:dyDescent="0.35">
      <c r="A4" t="s">
        <v>130</v>
      </c>
      <c r="B4" s="12">
        <v>-301.91905218142801</v>
      </c>
      <c r="C4" s="12">
        <v>-187.18600000000001</v>
      </c>
      <c r="D4" s="12">
        <f t="shared" si="0"/>
        <v>-114.73305218142801</v>
      </c>
      <c r="E4" s="59">
        <f t="shared" si="1"/>
        <v>0.61293607524829852</v>
      </c>
    </row>
    <row r="5" spans="1:5" x14ac:dyDescent="0.35">
      <c r="A5" s="89" t="s">
        <v>131</v>
      </c>
      <c r="B5" s="93">
        <v>390.32136581857202</v>
      </c>
      <c r="C5" s="93">
        <v>295.08479162999998</v>
      </c>
      <c r="D5" s="93">
        <f t="shared" si="0"/>
        <v>95.236574188572035</v>
      </c>
      <c r="E5" s="95">
        <f t="shared" si="1"/>
        <v>0.32274307890454407</v>
      </c>
    </row>
    <row r="6" spans="1:5" x14ac:dyDescent="0.35">
      <c r="A6" t="s">
        <v>132</v>
      </c>
      <c r="B6" s="12">
        <v>0.34989100000000001</v>
      </c>
      <c r="C6" s="12">
        <v>8.6999999999999994E-2</v>
      </c>
      <c r="D6" s="12">
        <f t="shared" si="0"/>
        <v>0.26289099999999999</v>
      </c>
      <c r="E6" s="59">
        <f t="shared" si="1"/>
        <v>3.0217356321839079</v>
      </c>
    </row>
    <row r="7" spans="1:5" x14ac:dyDescent="0.35">
      <c r="A7" t="s">
        <v>133</v>
      </c>
      <c r="B7" s="12">
        <v>24.879869922200005</v>
      </c>
      <c r="C7" s="12">
        <v>13.618</v>
      </c>
      <c r="D7" s="12">
        <f t="shared" si="0"/>
        <v>11.261869922200004</v>
      </c>
      <c r="E7" s="59">
        <f t="shared" si="1"/>
        <v>0.82698413292700867</v>
      </c>
    </row>
    <row r="8" spans="1:5" x14ac:dyDescent="0.35">
      <c r="A8" t="s">
        <v>134</v>
      </c>
      <c r="B8" s="12">
        <v>130.17825575000001</v>
      </c>
      <c r="C8" s="12">
        <v>134.953</v>
      </c>
      <c r="D8" s="12">
        <f t="shared" si="0"/>
        <v>-4.7747442499999977</v>
      </c>
      <c r="E8" s="59">
        <f t="shared" si="1"/>
        <v>-3.5380793683726909E-2</v>
      </c>
    </row>
    <row r="9" spans="1:5" x14ac:dyDescent="0.35">
      <c r="A9" t="s">
        <v>135</v>
      </c>
      <c r="B9" s="12">
        <v>1.2960730000000005</v>
      </c>
      <c r="C9" s="12">
        <v>8.6239999999999988</v>
      </c>
      <c r="D9" s="12">
        <f t="shared" si="0"/>
        <v>-7.3279269999999981</v>
      </c>
      <c r="E9" s="59">
        <f t="shared" si="1"/>
        <v>-0.84971324211502774</v>
      </c>
    </row>
    <row r="10" spans="1:5" x14ac:dyDescent="0.35">
      <c r="A10" t="s">
        <v>136</v>
      </c>
      <c r="B10" s="12">
        <v>-85.081473856457293</v>
      </c>
      <c r="C10" s="12">
        <v>-79.454791630000017</v>
      </c>
      <c r="D10" s="12">
        <f t="shared" si="0"/>
        <v>-5.6266822264572767</v>
      </c>
      <c r="E10" s="59">
        <f t="shared" si="1"/>
        <v>7.0816147283593034E-2</v>
      </c>
    </row>
    <row r="11" spans="1:5" x14ac:dyDescent="0.35">
      <c r="A11" s="89" t="s">
        <v>137</v>
      </c>
      <c r="B11" s="93">
        <v>461.94398163431464</v>
      </c>
      <c r="C11" s="93">
        <v>372.91199999999992</v>
      </c>
      <c r="D11" s="93">
        <f t="shared" si="0"/>
        <v>89.031981634314718</v>
      </c>
      <c r="E11" s="95">
        <f>+D11/C11</f>
        <v>0.23874796636824436</v>
      </c>
    </row>
    <row r="12" spans="1:5" x14ac:dyDescent="0.35">
      <c r="A12" t="s">
        <v>138</v>
      </c>
      <c r="B12" s="12">
        <v>-202.90292190000002</v>
      </c>
      <c r="C12" s="12">
        <v>-190.447</v>
      </c>
      <c r="D12" s="12">
        <f t="shared" si="0"/>
        <v>-12.455921900000021</v>
      </c>
      <c r="E12" s="59">
        <f t="shared" si="1"/>
        <v>6.5403613078704417E-2</v>
      </c>
    </row>
    <row r="13" spans="1:5" x14ac:dyDescent="0.35">
      <c r="A13" s="7" t="s">
        <v>139</v>
      </c>
      <c r="B13" s="12">
        <v>-134.89617100000001</v>
      </c>
      <c r="C13" s="12">
        <v>-119.571</v>
      </c>
      <c r="D13" s="12">
        <f t="shared" si="0"/>
        <v>-15.325171000000012</v>
      </c>
      <c r="E13" s="59">
        <f t="shared" si="1"/>
        <v>0.12816795878599335</v>
      </c>
    </row>
    <row r="14" spans="1:5" x14ac:dyDescent="0.35">
      <c r="A14" s="7" t="s">
        <v>140</v>
      </c>
      <c r="B14" s="12">
        <v>-68.0067509</v>
      </c>
      <c r="C14" s="12">
        <v>-70.876000000000005</v>
      </c>
      <c r="D14" s="12">
        <f t="shared" si="0"/>
        <v>2.8692491000000047</v>
      </c>
      <c r="E14" s="59">
        <f t="shared" si="1"/>
        <v>-4.0482661267565952E-2</v>
      </c>
    </row>
    <row r="15" spans="1:5" x14ac:dyDescent="0.35">
      <c r="A15" t="s">
        <v>141</v>
      </c>
      <c r="B15" s="12">
        <v>-21.678905618986402</v>
      </c>
      <c r="C15" s="12">
        <v>-21.984999999999999</v>
      </c>
      <c r="D15" s="12">
        <f t="shared" si="0"/>
        <v>0.30609438101359743</v>
      </c>
      <c r="E15" s="59">
        <f t="shared" si="1"/>
        <v>-1.3922873823679665E-2</v>
      </c>
    </row>
    <row r="16" spans="1:5" x14ac:dyDescent="0.35">
      <c r="A16" s="89" t="s">
        <v>142</v>
      </c>
      <c r="B16" s="93">
        <v>237.36215411532822</v>
      </c>
      <c r="C16" s="93">
        <v>160.4799999999999</v>
      </c>
      <c r="D16" s="93">
        <f t="shared" si="0"/>
        <v>76.882154115328319</v>
      </c>
      <c r="E16" s="95">
        <f t="shared" si="1"/>
        <v>0.47907623451725051</v>
      </c>
    </row>
    <row r="17" spans="1:7" x14ac:dyDescent="0.35">
      <c r="A17" t="s">
        <v>143</v>
      </c>
      <c r="B17" s="12">
        <v>-19.33297627</v>
      </c>
      <c r="C17" s="12">
        <v>-32.621000000000002</v>
      </c>
      <c r="D17" s="12">
        <f t="shared" si="0"/>
        <v>13.288023730000003</v>
      </c>
      <c r="E17" s="59">
        <f t="shared" si="1"/>
        <v>-0.40734568927991177</v>
      </c>
    </row>
    <row r="18" spans="1:7" x14ac:dyDescent="0.35">
      <c r="A18" t="s">
        <v>144</v>
      </c>
      <c r="B18" s="12">
        <v>-30.500124899999999</v>
      </c>
      <c r="C18" s="12">
        <v>-35.158999999999999</v>
      </c>
      <c r="D18" s="12">
        <f t="shared" si="0"/>
        <v>4.6588750999999995</v>
      </c>
      <c r="E18" s="59">
        <f t="shared" si="1"/>
        <v>-0.13250874882675842</v>
      </c>
    </row>
    <row r="19" spans="1:7" x14ac:dyDescent="0.35">
      <c r="A19" s="89" t="s">
        <v>145</v>
      </c>
      <c r="B19" s="93">
        <v>187.52905294532823</v>
      </c>
      <c r="C19" s="93">
        <v>92.699999999999903</v>
      </c>
      <c r="D19" s="93">
        <f t="shared" si="0"/>
        <v>94.829052945328328</v>
      </c>
      <c r="E19" s="95">
        <f t="shared" si="1"/>
        <v>1.0229671299388179</v>
      </c>
    </row>
    <row r="20" spans="1:7" x14ac:dyDescent="0.35">
      <c r="A20" t="s">
        <v>146</v>
      </c>
      <c r="B20" s="12">
        <v>-3.3443670000000001</v>
      </c>
      <c r="C20" s="12">
        <v>-20.084999999999997</v>
      </c>
      <c r="D20" s="12">
        <f t="shared" si="0"/>
        <v>16.740632999999995</v>
      </c>
      <c r="E20" s="59">
        <f t="shared" si="1"/>
        <v>-0.83348932038834944</v>
      </c>
    </row>
    <row r="21" spans="1:7" x14ac:dyDescent="0.35">
      <c r="A21" s="89" t="s">
        <v>147</v>
      </c>
      <c r="B21" s="93">
        <v>184.18468594532823</v>
      </c>
      <c r="C21" s="93">
        <v>72.61499999999991</v>
      </c>
      <c r="D21" s="93">
        <f t="shared" si="0"/>
        <v>111.56968594532832</v>
      </c>
      <c r="E21" s="95">
        <f t="shared" si="1"/>
        <v>1.5364550842846307</v>
      </c>
    </row>
    <row r="22" spans="1:7" x14ac:dyDescent="0.35">
      <c r="A22" t="s">
        <v>148</v>
      </c>
      <c r="B22" s="12">
        <v>-73.384130858938605</v>
      </c>
      <c r="C22" s="12">
        <v>-38.423999999999999</v>
      </c>
      <c r="D22" s="12">
        <f t="shared" si="0"/>
        <v>-34.960130858938605</v>
      </c>
      <c r="E22" s="59">
        <f t="shared" si="1"/>
        <v>0.90985141731570385</v>
      </c>
    </row>
    <row r="23" spans="1:7" x14ac:dyDescent="0.35">
      <c r="A23" s="89" t="s">
        <v>149</v>
      </c>
      <c r="B23" s="93">
        <v>110.80055508638962</v>
      </c>
      <c r="C23" s="93">
        <v>34.19099999999991</v>
      </c>
      <c r="D23" s="93">
        <f>+B23-C23</f>
        <v>76.609555086389719</v>
      </c>
      <c r="E23" s="95">
        <f t="shared" si="1"/>
        <v>2.2406351111810103</v>
      </c>
    </row>
    <row r="24" spans="1:7" ht="15" customHeight="1" x14ac:dyDescent="0.35">
      <c r="A24" t="s">
        <v>150</v>
      </c>
      <c r="B24" s="12"/>
      <c r="C24" s="12"/>
      <c r="D24" s="12"/>
      <c r="E24" s="59"/>
    </row>
    <row r="25" spans="1:7" ht="18" thickBot="1" x14ac:dyDescent="0.4">
      <c r="A25" s="89" t="s">
        <v>151</v>
      </c>
      <c r="B25" s="93">
        <v>110.80055508638962</v>
      </c>
      <c r="C25" s="93">
        <v>34.19099999999991</v>
      </c>
      <c r="D25" s="93">
        <f>+B25-C25</f>
        <v>76.609555086389719</v>
      </c>
      <c r="E25" s="95">
        <f>+D25/C25</f>
        <v>2.2406351111810103</v>
      </c>
    </row>
    <row r="26" spans="1:7" x14ac:dyDescent="0.35">
      <c r="A26" s="117" t="s">
        <v>152</v>
      </c>
      <c r="B26" s="118">
        <v>110.80055508638962</v>
      </c>
      <c r="C26" s="118">
        <v>34.19099999999991</v>
      </c>
      <c r="D26" s="118">
        <f t="shared" si="0"/>
        <v>76.609555086389719</v>
      </c>
      <c r="E26" s="119">
        <f>+D26/C26</f>
        <v>2.2406351111810103</v>
      </c>
    </row>
    <row r="27" spans="1:7" x14ac:dyDescent="0.35">
      <c r="A27" s="135"/>
      <c r="B27" s="135"/>
      <c r="C27" s="135"/>
      <c r="D27" s="135"/>
      <c r="E27" s="135"/>
      <c r="F27" s="135"/>
    </row>
    <row r="28" spans="1:7" x14ac:dyDescent="0.35">
      <c r="B28" s="78"/>
      <c r="C28" s="78"/>
      <c r="D28" s="78"/>
      <c r="E28" s="78"/>
      <c r="F28" s="78"/>
    </row>
    <row r="29" spans="1:7" x14ac:dyDescent="0.35">
      <c r="A29" s="85" t="s">
        <v>272</v>
      </c>
      <c r="B29" s="77">
        <f>B2</f>
        <v>45382</v>
      </c>
      <c r="C29" s="77">
        <f>EOMONTH(B29,-3)</f>
        <v>45291</v>
      </c>
      <c r="D29" s="77">
        <f t="shared" ref="D29:F29" si="2">EOMONTH(C29,-3)</f>
        <v>45199</v>
      </c>
      <c r="E29" s="77">
        <f t="shared" si="2"/>
        <v>45107</v>
      </c>
      <c r="F29" s="77">
        <f t="shared" si="2"/>
        <v>45016</v>
      </c>
      <c r="G29" s="39"/>
    </row>
    <row r="30" spans="1:7" x14ac:dyDescent="0.35">
      <c r="A30" s="1" t="s">
        <v>48</v>
      </c>
      <c r="B30" s="9" t="s">
        <v>280</v>
      </c>
      <c r="C30" s="9" t="s">
        <v>273</v>
      </c>
      <c r="D30" s="9" t="s">
        <v>271</v>
      </c>
      <c r="E30" s="9" t="s">
        <v>270</v>
      </c>
      <c r="F30" s="9" t="s">
        <v>261</v>
      </c>
    </row>
    <row r="31" spans="1:7" x14ac:dyDescent="0.35">
      <c r="A31" t="s">
        <v>129</v>
      </c>
      <c r="B31" s="12">
        <v>692.24041799999998</v>
      </c>
      <c r="C31" s="12">
        <v>664.96437200000014</v>
      </c>
      <c r="D31" s="12">
        <v>613.74248900000021</v>
      </c>
      <c r="E31" s="12">
        <v>584.92620836999981</v>
      </c>
      <c r="F31" s="12">
        <v>482.27079163000002</v>
      </c>
    </row>
    <row r="32" spans="1:7" x14ac:dyDescent="0.35">
      <c r="A32" t="s">
        <v>130</v>
      </c>
      <c r="B32" s="12">
        <v>-301.91905218142801</v>
      </c>
      <c r="C32" s="12">
        <v>-284.77432001400302</v>
      </c>
      <c r="D32" s="12">
        <v>-256.36813518999998</v>
      </c>
      <c r="E32" s="12">
        <v>-264.346</v>
      </c>
      <c r="F32" s="12">
        <v>-187.18600000000001</v>
      </c>
    </row>
    <row r="33" spans="1:8" x14ac:dyDescent="0.35">
      <c r="A33" s="89" t="s">
        <v>131</v>
      </c>
      <c r="B33" s="93">
        <v>390.32136581857202</v>
      </c>
      <c r="C33" s="93">
        <v>380.19005198600001</v>
      </c>
      <c r="D33" s="93">
        <v>357.37435380999995</v>
      </c>
      <c r="E33" s="93">
        <v>320.58020836999998</v>
      </c>
      <c r="F33" s="93">
        <v>295.08479162999998</v>
      </c>
      <c r="H33" s="59"/>
    </row>
    <row r="34" spans="1:8" x14ac:dyDescent="0.35">
      <c r="A34" t="s">
        <v>132</v>
      </c>
      <c r="B34" s="12">
        <v>0.34989100000000001</v>
      </c>
      <c r="C34" s="12">
        <v>3.510999999999348E-3</v>
      </c>
      <c r="D34" s="12">
        <v>6.3740500000000004</v>
      </c>
      <c r="E34" s="12">
        <v>18.102</v>
      </c>
      <c r="F34" s="12">
        <v>8.6999999999999994E-2</v>
      </c>
    </row>
    <row r="35" spans="1:8" x14ac:dyDescent="0.35">
      <c r="A35" t="s">
        <v>133</v>
      </c>
      <c r="B35" s="12">
        <v>24.879869922200005</v>
      </c>
      <c r="C35" s="12">
        <v>29.143240134799996</v>
      </c>
      <c r="D35" s="12">
        <v>14.748824948900003</v>
      </c>
      <c r="E35" s="12">
        <v>34.436</v>
      </c>
      <c r="F35" s="12">
        <v>13.618</v>
      </c>
    </row>
    <row r="36" spans="1:8" x14ac:dyDescent="0.35">
      <c r="A36" t="s">
        <v>134</v>
      </c>
      <c r="B36" s="12">
        <v>130.17825575000001</v>
      </c>
      <c r="C36" s="12">
        <v>132.7743419999999</v>
      </c>
      <c r="D36" s="12">
        <v>131.54898299999999</v>
      </c>
      <c r="E36" s="12">
        <v>134.148</v>
      </c>
      <c r="F36" s="12">
        <v>134.953</v>
      </c>
    </row>
    <row r="37" spans="1:8" x14ac:dyDescent="0.35">
      <c r="A37" t="s">
        <v>135</v>
      </c>
      <c r="B37" s="12">
        <v>1.2960730000000005</v>
      </c>
      <c r="C37" s="12">
        <v>4.4741619999999926</v>
      </c>
      <c r="D37" s="12">
        <v>7.1569594900000002</v>
      </c>
      <c r="E37" s="12">
        <v>-0.28099999999999703</v>
      </c>
      <c r="F37" s="12">
        <v>8.6239999999999988</v>
      </c>
    </row>
    <row r="38" spans="1:8" x14ac:dyDescent="0.35">
      <c r="A38" t="s">
        <v>153</v>
      </c>
      <c r="B38" s="12">
        <v>-85.081473856457293</v>
      </c>
      <c r="C38" s="12">
        <v>-104.48698976586221</v>
      </c>
      <c r="D38" s="12">
        <v>-14.418010360000011</v>
      </c>
      <c r="E38" s="12">
        <v>-49.233208369999971</v>
      </c>
      <c r="F38" s="12">
        <v>-79.454791630000017</v>
      </c>
    </row>
    <row r="39" spans="1:8" x14ac:dyDescent="0.35">
      <c r="A39" s="89" t="s">
        <v>137</v>
      </c>
      <c r="B39" s="93">
        <v>461.94398163431464</v>
      </c>
      <c r="C39" s="93">
        <v>442.09831735493776</v>
      </c>
      <c r="D39" s="93">
        <v>502.7851608888999</v>
      </c>
      <c r="E39" s="93">
        <v>457.75199999999995</v>
      </c>
      <c r="F39" s="93">
        <v>372.91199999999992</v>
      </c>
    </row>
    <row r="40" spans="1:8" x14ac:dyDescent="0.35">
      <c r="A40" t="s">
        <v>138</v>
      </c>
      <c r="B40" s="12">
        <v>-202.90292190000002</v>
      </c>
      <c r="C40" s="12">
        <v>-195.46313479000005</v>
      </c>
      <c r="D40" s="12">
        <v>-189.10822543</v>
      </c>
      <c r="E40" s="12">
        <v>-193.03299999999999</v>
      </c>
      <c r="F40" s="12">
        <v>-190.447</v>
      </c>
    </row>
    <row r="41" spans="1:8" x14ac:dyDescent="0.35">
      <c r="A41" s="7" t="s">
        <v>139</v>
      </c>
      <c r="B41" s="12">
        <v>-134.89617100000001</v>
      </c>
      <c r="C41" s="12">
        <v>-122.70697171</v>
      </c>
      <c r="D41" s="12">
        <v>-120.15066229000001</v>
      </c>
      <c r="E41" s="12">
        <v>-124.333</v>
      </c>
      <c r="F41" s="12">
        <v>-119.571</v>
      </c>
    </row>
    <row r="42" spans="1:8" x14ac:dyDescent="0.35">
      <c r="A42" s="7" t="s">
        <v>140</v>
      </c>
      <c r="B42" s="12">
        <v>-68.0067509</v>
      </c>
      <c r="C42" s="12">
        <v>-72.75616308000005</v>
      </c>
      <c r="D42" s="12">
        <v>-68.957563139999991</v>
      </c>
      <c r="E42" s="12">
        <v>-68.699999999999989</v>
      </c>
      <c r="F42" s="12">
        <v>-70.876000000000005</v>
      </c>
    </row>
    <row r="43" spans="1:8" x14ac:dyDescent="0.35">
      <c r="A43" t="s">
        <v>141</v>
      </c>
      <c r="B43" s="12">
        <v>-21.678905618986402</v>
      </c>
      <c r="C43" s="12">
        <v>-21.698469095857213</v>
      </c>
      <c r="D43" s="12">
        <v>-23.706684660000001</v>
      </c>
      <c r="E43" s="12">
        <v>-23.112000000000002</v>
      </c>
      <c r="F43" s="12">
        <v>-21.984999999999999</v>
      </c>
    </row>
    <row r="44" spans="1:8" x14ac:dyDescent="0.35">
      <c r="A44" s="89" t="s">
        <v>142</v>
      </c>
      <c r="B44" s="93">
        <v>237.36215411532822</v>
      </c>
      <c r="C44" s="93">
        <v>224.9367134690805</v>
      </c>
      <c r="D44" s="93">
        <v>289.97025079889988</v>
      </c>
      <c r="E44" s="93">
        <v>241.60699999999994</v>
      </c>
      <c r="F44" s="93">
        <v>160.4799999999999</v>
      </c>
    </row>
    <row r="45" spans="1:8" x14ac:dyDescent="0.35">
      <c r="A45" t="s">
        <v>143</v>
      </c>
      <c r="B45" s="12">
        <v>-19.33297627</v>
      </c>
      <c r="C45" s="12">
        <v>-26.648727739999998</v>
      </c>
      <c r="D45" s="12">
        <v>-25.062022749999997</v>
      </c>
      <c r="E45" s="12">
        <v>-29.823</v>
      </c>
      <c r="F45" s="12">
        <v>-32.621000000000002</v>
      </c>
    </row>
    <row r="46" spans="1:8" x14ac:dyDescent="0.35">
      <c r="A46" t="s">
        <v>144</v>
      </c>
      <c r="B46" s="12">
        <v>-30.500124899999999</v>
      </c>
      <c r="C46" s="12">
        <v>-33.858935479999978</v>
      </c>
      <c r="D46" s="12">
        <v>-36.776277710000009</v>
      </c>
      <c r="E46" s="12">
        <v>-40.452999999999996</v>
      </c>
      <c r="F46" s="12">
        <v>-35.158999999999999</v>
      </c>
    </row>
    <row r="47" spans="1:8" x14ac:dyDescent="0.35">
      <c r="A47" s="89" t="s">
        <v>145</v>
      </c>
      <c r="B47" s="93">
        <v>187.52905294532823</v>
      </c>
      <c r="C47" s="93">
        <v>164.42905024908052</v>
      </c>
      <c r="D47" s="93">
        <v>228.13195033889988</v>
      </c>
      <c r="E47" s="93">
        <v>171.33099999999993</v>
      </c>
      <c r="F47" s="93">
        <v>92.699999999999903</v>
      </c>
    </row>
    <row r="48" spans="1:8" x14ac:dyDescent="0.35">
      <c r="A48" t="s">
        <v>146</v>
      </c>
      <c r="B48" s="12">
        <v>-3.3443670000000001</v>
      </c>
      <c r="C48" s="12">
        <v>-206.72548499999999</v>
      </c>
      <c r="D48" s="12">
        <v>-37.882675640000002</v>
      </c>
      <c r="E48" s="12">
        <v>-21.330000000000002</v>
      </c>
      <c r="F48" s="12">
        <v>-20.084999999999997</v>
      </c>
    </row>
    <row r="49" spans="1:6" x14ac:dyDescent="0.35">
      <c r="A49" s="89" t="s">
        <v>147</v>
      </c>
      <c r="B49" s="93">
        <v>184.18468594532823</v>
      </c>
      <c r="C49" s="93">
        <v>-42.296434750919474</v>
      </c>
      <c r="D49" s="93">
        <v>190.24927469889988</v>
      </c>
      <c r="E49" s="93">
        <v>150.00099999999992</v>
      </c>
      <c r="F49" s="93">
        <v>72.61499999999991</v>
      </c>
    </row>
    <row r="50" spans="1:6" x14ac:dyDescent="0.35">
      <c r="A50" t="s">
        <v>148</v>
      </c>
      <c r="B50" s="12">
        <v>-73.384130858938605</v>
      </c>
      <c r="C50" s="12">
        <v>23.480166256617004</v>
      </c>
      <c r="D50" s="12">
        <v>-53.028397184000006</v>
      </c>
      <c r="E50" s="12">
        <v>-36.065000000000005</v>
      </c>
      <c r="F50" s="12">
        <v>-38.423999999999999</v>
      </c>
    </row>
    <row r="51" spans="1:6" x14ac:dyDescent="0.35">
      <c r="A51" s="89" t="s">
        <v>149</v>
      </c>
      <c r="B51" s="93">
        <v>110.80055508638962</v>
      </c>
      <c r="C51" s="93">
        <v>-18.81626849430247</v>
      </c>
      <c r="D51" s="93">
        <v>137.22087751489988</v>
      </c>
      <c r="E51" s="93">
        <v>113.93599999999992</v>
      </c>
      <c r="F51" s="93">
        <v>34.19099999999991</v>
      </c>
    </row>
    <row r="52" spans="1:6" x14ac:dyDescent="0.35">
      <c r="A52" t="s">
        <v>150</v>
      </c>
      <c r="B52" s="12"/>
      <c r="C52" s="12"/>
      <c r="D52" s="12"/>
      <c r="E52" s="12"/>
      <c r="F52" s="12"/>
    </row>
    <row r="53" spans="1:6" x14ac:dyDescent="0.35">
      <c r="A53" s="89" t="s">
        <v>151</v>
      </c>
      <c r="B53" s="93">
        <v>110.80055508638962</v>
      </c>
      <c r="C53" s="93">
        <v>-18.81626849430247</v>
      </c>
      <c r="D53" s="93">
        <v>137.22087751489988</v>
      </c>
      <c r="E53" s="93">
        <v>113.93599999999992</v>
      </c>
      <c r="F53" s="93">
        <v>34.19099999999991</v>
      </c>
    </row>
    <row r="54" spans="1:6" x14ac:dyDescent="0.35">
      <c r="A54" s="109" t="s">
        <v>152</v>
      </c>
      <c r="B54" s="110">
        <v>110.80055508638962</v>
      </c>
      <c r="C54" s="110">
        <v>-18.81626849430247</v>
      </c>
      <c r="D54" s="110">
        <v>137.22087751489988</v>
      </c>
      <c r="E54" s="110">
        <v>113.93599999999992</v>
      </c>
      <c r="F54" s="110">
        <v>34.19099999999991</v>
      </c>
    </row>
    <row r="57" spans="1:6" x14ac:dyDescent="0.35">
      <c r="C57" s="12"/>
    </row>
  </sheetData>
  <mergeCells count="2">
    <mergeCell ref="A27:F27"/>
    <mergeCell ref="D1:E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24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7.25" x14ac:dyDescent="0.35"/>
  <cols>
    <col min="1" max="1" width="32.33203125" customWidth="1"/>
    <col min="2" max="2" width="9.44140625" customWidth="1"/>
    <col min="3" max="3" width="5.77734375" customWidth="1"/>
    <col min="4" max="4" width="7.88671875" customWidth="1"/>
    <col min="5" max="5" width="1.77734375" customWidth="1"/>
    <col min="6" max="6" width="9.44140625" customWidth="1"/>
    <col min="7" max="7" width="5.77734375" customWidth="1"/>
    <col min="8" max="8" width="7.88671875" customWidth="1"/>
    <col min="9" max="9" width="1.77734375" customWidth="1"/>
    <col min="10" max="10" width="9.44140625" customWidth="1"/>
    <col min="11" max="11" width="5.77734375" customWidth="1"/>
    <col min="12" max="12" width="7.88671875" customWidth="1"/>
    <col min="13" max="13" width="1.77734375" customWidth="1"/>
    <col min="14" max="14" width="9.44140625" customWidth="1"/>
    <col min="15" max="15" width="5.77734375" customWidth="1"/>
    <col min="16" max="16" width="7.88671875" customWidth="1"/>
    <col min="17" max="17" width="1.77734375" customWidth="1"/>
    <col min="18" max="18" width="9.44140625" customWidth="1"/>
    <col min="19" max="19" width="5.77734375" customWidth="1"/>
    <col min="20" max="20" width="7.88671875" customWidth="1"/>
  </cols>
  <sheetData>
    <row r="1" spans="1:20" x14ac:dyDescent="0.35">
      <c r="B1" s="72"/>
      <c r="F1" s="72"/>
      <c r="J1" s="72"/>
      <c r="N1" s="72"/>
      <c r="R1" s="72"/>
    </row>
    <row r="2" spans="1:20" ht="18" x14ac:dyDescent="0.35">
      <c r="A2" s="18" t="s">
        <v>154</v>
      </c>
      <c r="B2" s="73"/>
      <c r="C2" s="73"/>
      <c r="D2" s="73"/>
      <c r="E2" s="18"/>
      <c r="F2" s="73"/>
      <c r="G2" s="73"/>
      <c r="H2" s="73"/>
      <c r="I2" s="18"/>
      <c r="J2" s="73"/>
      <c r="K2" s="73"/>
      <c r="L2" s="73"/>
      <c r="M2" s="18"/>
      <c r="N2" s="73"/>
      <c r="O2" s="73"/>
      <c r="P2" s="73"/>
      <c r="Q2" s="18"/>
      <c r="R2" s="73"/>
      <c r="S2" s="73"/>
      <c r="T2" s="73"/>
    </row>
    <row r="3" spans="1:20" x14ac:dyDescent="0.35">
      <c r="A3" s="19" t="s">
        <v>155</v>
      </c>
      <c r="B3" s="136" t="s">
        <v>280</v>
      </c>
      <c r="C3" s="136"/>
      <c r="D3" s="136"/>
      <c r="E3" s="19"/>
      <c r="F3" s="136" t="s">
        <v>273</v>
      </c>
      <c r="G3" s="136"/>
      <c r="H3" s="136"/>
      <c r="I3" s="19"/>
      <c r="J3" s="136" t="s">
        <v>271</v>
      </c>
      <c r="K3" s="136"/>
      <c r="L3" s="136"/>
      <c r="M3" s="19"/>
      <c r="N3" s="136" t="s">
        <v>270</v>
      </c>
      <c r="O3" s="136"/>
      <c r="P3" s="136"/>
      <c r="Q3" s="19"/>
      <c r="R3" s="136" t="s">
        <v>261</v>
      </c>
      <c r="S3" s="136"/>
      <c r="T3" s="136"/>
    </row>
    <row r="4" spans="1:20" ht="30" customHeight="1" x14ac:dyDescent="0.35">
      <c r="B4" s="52" t="s">
        <v>156</v>
      </c>
      <c r="C4" s="52" t="s">
        <v>157</v>
      </c>
      <c r="D4" s="52" t="s">
        <v>158</v>
      </c>
      <c r="E4" s="53"/>
      <c r="F4" s="52" t="s">
        <v>156</v>
      </c>
      <c r="G4" s="52" t="s">
        <v>157</v>
      </c>
      <c r="H4" s="52" t="s">
        <v>158</v>
      </c>
      <c r="I4" s="53"/>
      <c r="J4" s="52" t="s">
        <v>156</v>
      </c>
      <c r="K4" s="52" t="s">
        <v>157</v>
      </c>
      <c r="L4" s="52" t="s">
        <v>158</v>
      </c>
      <c r="M4" s="53"/>
      <c r="N4" s="52" t="s">
        <v>156</v>
      </c>
      <c r="O4" s="52" t="s">
        <v>157</v>
      </c>
      <c r="P4" s="52" t="s">
        <v>158</v>
      </c>
      <c r="Q4" s="53"/>
      <c r="R4" s="52" t="s">
        <v>156</v>
      </c>
      <c r="S4" s="52" t="s">
        <v>157</v>
      </c>
      <c r="T4" s="52" t="s">
        <v>158</v>
      </c>
    </row>
    <row r="5" spans="1:20" x14ac:dyDescent="0.35">
      <c r="A5" t="s">
        <v>159</v>
      </c>
      <c r="B5" s="12">
        <v>10236.13639466868</v>
      </c>
      <c r="C5" s="74">
        <v>77.568967810000004</v>
      </c>
      <c r="D5" s="40">
        <v>3.0478363289671537</v>
      </c>
      <c r="E5" s="40"/>
      <c r="F5" s="12">
        <v>7580.7652855359192</v>
      </c>
      <c r="G5" s="74">
        <v>60.854400960000056</v>
      </c>
      <c r="H5" s="40">
        <v>3.1848133019057348</v>
      </c>
      <c r="I5" s="40"/>
      <c r="J5" s="12">
        <v>5812.9387935370114</v>
      </c>
      <c r="K5" s="74">
        <v>48.105670619999977</v>
      </c>
      <c r="L5" s="40">
        <v>3.28326215166424</v>
      </c>
      <c r="M5" s="40"/>
      <c r="N5" s="12">
        <v>10211.640287837143</v>
      </c>
      <c r="O5" s="74">
        <v>77.903657460000005</v>
      </c>
      <c r="P5" s="40">
        <v>3.0599463473080717</v>
      </c>
      <c r="Q5" s="40"/>
      <c r="R5" s="12">
        <v>8720.7121199188878</v>
      </c>
      <c r="S5" s="74">
        <v>48.515646920000002</v>
      </c>
      <c r="T5" s="40">
        <v>2.2562136978282439</v>
      </c>
    </row>
    <row r="6" spans="1:20" x14ac:dyDescent="0.35">
      <c r="A6" t="s">
        <v>160</v>
      </c>
      <c r="B6" s="12">
        <v>26280.440797626536</v>
      </c>
      <c r="C6" s="74">
        <v>172.10299527000001</v>
      </c>
      <c r="D6" s="40">
        <v>2.6338769194276286</v>
      </c>
      <c r="E6" s="40"/>
      <c r="F6" s="12">
        <v>25951.273052073026</v>
      </c>
      <c r="G6" s="74">
        <v>176.54414748999994</v>
      </c>
      <c r="H6" s="40">
        <v>2.6989801778890969</v>
      </c>
      <c r="I6" s="40"/>
      <c r="J6" s="12">
        <v>25660.837463516578</v>
      </c>
      <c r="K6" s="74">
        <v>162.13062853000005</v>
      </c>
      <c r="L6" s="40">
        <v>2.5066822028427298</v>
      </c>
      <c r="M6" s="40"/>
      <c r="N6" s="12">
        <v>26346.685813685555</v>
      </c>
      <c r="O6" s="74">
        <v>154.49578731</v>
      </c>
      <c r="P6" s="40">
        <v>2.352026017718774</v>
      </c>
      <c r="Q6" s="40"/>
      <c r="R6" s="12">
        <v>27049.526603869828</v>
      </c>
      <c r="S6" s="74">
        <v>142.14771934000001</v>
      </c>
      <c r="T6" s="40">
        <v>2.1312312829771076</v>
      </c>
    </row>
    <row r="7" spans="1:20" x14ac:dyDescent="0.35">
      <c r="A7" s="109" t="s">
        <v>161</v>
      </c>
      <c r="B7" s="110">
        <v>49285.601906563956</v>
      </c>
      <c r="C7" s="127">
        <v>440.0651462099998</v>
      </c>
      <c r="D7" s="128">
        <v>3.5911752678817161</v>
      </c>
      <c r="E7" s="128"/>
      <c r="F7" s="110">
        <v>50901.866059542022</v>
      </c>
      <c r="G7" s="127">
        <v>429.72727707999991</v>
      </c>
      <c r="H7" s="128">
        <v>3.3493787051617567</v>
      </c>
      <c r="I7" s="128"/>
      <c r="J7" s="110">
        <v>51667.371623890729</v>
      </c>
      <c r="K7" s="127">
        <v>402.22687773000007</v>
      </c>
      <c r="L7" s="128">
        <v>3.0885864074864084</v>
      </c>
      <c r="M7" s="128"/>
      <c r="N7" s="110">
        <v>53002.02873011741</v>
      </c>
      <c r="O7" s="127">
        <v>347.10426061999999</v>
      </c>
      <c r="P7" s="128">
        <v>2.6267511043840028</v>
      </c>
      <c r="Q7" s="128"/>
      <c r="R7" s="110">
        <v>54002.457949163057</v>
      </c>
      <c r="S7" s="127">
        <v>288.69214537999994</v>
      </c>
      <c r="T7" s="128">
        <v>2.168062489198709</v>
      </c>
    </row>
    <row r="8" spans="1:20" x14ac:dyDescent="0.35">
      <c r="A8" t="s">
        <v>162</v>
      </c>
      <c r="B8" s="12"/>
      <c r="C8" s="74">
        <v>2.5041950500000003</v>
      </c>
      <c r="D8" s="40"/>
      <c r="E8" s="40"/>
      <c r="F8" s="12"/>
      <c r="G8" s="74">
        <v>-1.5912754099999975</v>
      </c>
      <c r="H8" s="40"/>
      <c r="I8" s="40"/>
      <c r="J8" s="12"/>
      <c r="K8" s="74">
        <v>1.2390131500000008</v>
      </c>
      <c r="L8" s="40"/>
      <c r="M8" s="40"/>
      <c r="N8" s="12"/>
      <c r="O8" s="74">
        <v>4.4667679000000007</v>
      </c>
      <c r="P8" s="40"/>
      <c r="Q8" s="40"/>
      <c r="R8" s="12"/>
      <c r="S8" s="74">
        <v>2.3586128299999998</v>
      </c>
      <c r="T8" s="40"/>
    </row>
    <row r="9" spans="1:20" x14ac:dyDescent="0.35">
      <c r="A9" s="89" t="s">
        <v>61</v>
      </c>
      <c r="B9" s="93">
        <v>97122.718099574151</v>
      </c>
      <c r="C9" s="100">
        <v>692.24130433999983</v>
      </c>
      <c r="D9" s="104"/>
      <c r="E9" s="104"/>
      <c r="F9" s="93">
        <v>96198.587131209148</v>
      </c>
      <c r="G9" s="100">
        <v>665.53455011999995</v>
      </c>
      <c r="H9" s="104"/>
      <c r="I9" s="104"/>
      <c r="J9" s="93">
        <v>96251.690597943903</v>
      </c>
      <c r="K9" s="100">
        <v>613.70219003000011</v>
      </c>
      <c r="L9" s="104"/>
      <c r="M9" s="104"/>
      <c r="N9" s="93">
        <v>101196.39267416115</v>
      </c>
      <c r="O9" s="100">
        <v>583.97047329000009</v>
      </c>
      <c r="P9" s="104"/>
      <c r="Q9" s="104"/>
      <c r="R9" s="93">
        <v>102051.45765269385</v>
      </c>
      <c r="S9" s="100">
        <v>481.71412446999994</v>
      </c>
      <c r="T9" s="104"/>
    </row>
    <row r="10" spans="1:20" x14ac:dyDescent="0.35">
      <c r="A10" t="s">
        <v>163</v>
      </c>
      <c r="B10" s="12">
        <v>9090.7040117141205</v>
      </c>
      <c r="C10" s="74">
        <v>83.359685220000003</v>
      </c>
      <c r="D10" s="28">
        <v>3.6880622385441444</v>
      </c>
      <c r="E10" s="28"/>
      <c r="F10" s="12">
        <v>6786.0749506285847</v>
      </c>
      <c r="G10" s="74">
        <v>74.775190529999961</v>
      </c>
      <c r="H10" s="28">
        <v>4.3716351918894487</v>
      </c>
      <c r="I10" s="28"/>
      <c r="J10" s="12">
        <v>6551.831020436307</v>
      </c>
      <c r="K10" s="74">
        <v>67.278931790000001</v>
      </c>
      <c r="L10" s="28">
        <v>4.0740038642156762</v>
      </c>
      <c r="M10" s="28"/>
      <c r="N10" s="12">
        <v>12209.21626803967</v>
      </c>
      <c r="O10" s="74">
        <v>104.94548225</v>
      </c>
      <c r="P10" s="28">
        <v>3.447683838311419</v>
      </c>
      <c r="Q10" s="28"/>
      <c r="R10" s="12">
        <v>12758.650785641557</v>
      </c>
      <c r="S10" s="74">
        <v>85.077647330000005</v>
      </c>
      <c r="T10" s="28">
        <v>2.7043386568043597</v>
      </c>
    </row>
    <row r="11" spans="1:20" x14ac:dyDescent="0.35">
      <c r="A11" t="s">
        <v>164</v>
      </c>
      <c r="B11" s="12">
        <v>8244.5881503753844</v>
      </c>
      <c r="C11" s="74">
        <v>93.47568858999999</v>
      </c>
      <c r="D11" s="28">
        <v>4.5600478549207342</v>
      </c>
      <c r="E11" s="28"/>
      <c r="F11" s="12">
        <v>8273.9818869286955</v>
      </c>
      <c r="G11" s="74">
        <v>95.570775143333364</v>
      </c>
      <c r="H11" s="28">
        <v>4.582638292361418</v>
      </c>
      <c r="I11" s="28"/>
      <c r="J11" s="12">
        <v>8597.7425685973358</v>
      </c>
      <c r="K11" s="74">
        <v>92.59481340666666</v>
      </c>
      <c r="L11" s="28">
        <v>4.2727478126534688</v>
      </c>
      <c r="M11" s="28"/>
      <c r="N11" s="12">
        <v>8129.9794374093399</v>
      </c>
      <c r="O11" s="74">
        <v>80.909988580000004</v>
      </c>
      <c r="P11" s="28">
        <v>3.9917576369300045</v>
      </c>
      <c r="Q11" s="28"/>
      <c r="R11" s="12">
        <v>7869.1599349788321</v>
      </c>
      <c r="S11" s="74">
        <v>64.137625360000001</v>
      </c>
      <c r="T11" s="28">
        <v>3.3054824784113195</v>
      </c>
    </row>
    <row r="12" spans="1:20" x14ac:dyDescent="0.35">
      <c r="A12" s="109" t="s">
        <v>165</v>
      </c>
      <c r="B12" s="110">
        <v>66162.274401777206</v>
      </c>
      <c r="C12" s="127">
        <v>111.36681351999999</v>
      </c>
      <c r="D12" s="129">
        <v>0.67699437542783925</v>
      </c>
      <c r="E12" s="129"/>
      <c r="F12" s="110">
        <v>66936.656672428595</v>
      </c>
      <c r="G12" s="127">
        <v>101.54872365999996</v>
      </c>
      <c r="H12" s="129">
        <v>0.6018877297501074</v>
      </c>
      <c r="I12" s="129"/>
      <c r="J12" s="110">
        <v>66728.808868789085</v>
      </c>
      <c r="K12" s="127">
        <v>79.765583510000013</v>
      </c>
      <c r="L12" s="129">
        <v>0.47424985964618671</v>
      </c>
      <c r="M12" s="129"/>
      <c r="N12" s="110">
        <v>67335.512375314647</v>
      </c>
      <c r="O12" s="127">
        <v>62.346390699999986</v>
      </c>
      <c r="P12" s="129">
        <v>0.37138009224416907</v>
      </c>
      <c r="Q12" s="129"/>
      <c r="R12" s="110">
        <v>67776.350833043223</v>
      </c>
      <c r="S12" s="127">
        <v>26.526719230000005</v>
      </c>
      <c r="T12" s="129">
        <v>0.15872879289251995</v>
      </c>
    </row>
    <row r="13" spans="1:20" x14ac:dyDescent="0.35">
      <c r="A13" s="7" t="s">
        <v>166</v>
      </c>
      <c r="B13" s="12">
        <v>51358.060892960937</v>
      </c>
      <c r="C13" s="74">
        <v>34.70540470000001</v>
      </c>
      <c r="D13" s="28">
        <v>0.27178669233281749</v>
      </c>
      <c r="E13" s="28"/>
      <c r="F13" s="12">
        <v>51807.012877807996</v>
      </c>
      <c r="G13" s="74">
        <v>27.294398659999999</v>
      </c>
      <c r="H13" s="28">
        <v>0.20902104538722191</v>
      </c>
      <c r="I13" s="28"/>
      <c r="J13" s="12">
        <v>52943.727497739033</v>
      </c>
      <c r="K13" s="74">
        <v>22.167196619999995</v>
      </c>
      <c r="L13" s="28">
        <v>0.16611211047751073</v>
      </c>
      <c r="M13" s="28"/>
      <c r="N13" s="12">
        <v>54278.456348636806</v>
      </c>
      <c r="O13" s="74">
        <v>20.217692119999999</v>
      </c>
      <c r="P13" s="28">
        <v>0.14940170811050663</v>
      </c>
      <c r="Q13" s="28"/>
      <c r="R13" s="12">
        <v>55838.257675439614</v>
      </c>
      <c r="S13" s="74">
        <v>9.7864033900000003</v>
      </c>
      <c r="T13" s="28">
        <v>7.1079049185088575E-2</v>
      </c>
    </row>
    <row r="14" spans="1:20" x14ac:dyDescent="0.35">
      <c r="A14" s="7" t="s">
        <v>167</v>
      </c>
      <c r="B14" s="12">
        <v>10184.287521671044</v>
      </c>
      <c r="C14" s="74">
        <v>55.062078459999988</v>
      </c>
      <c r="D14" s="28">
        <v>2.1745111667292401</v>
      </c>
      <c r="E14" s="28"/>
      <c r="F14" s="12">
        <v>9412.7536872417422</v>
      </c>
      <c r="G14" s="74">
        <v>43.55635466999999</v>
      </c>
      <c r="H14" s="28">
        <v>1.8358613059329461</v>
      </c>
      <c r="I14" s="28"/>
      <c r="J14" s="12">
        <v>8211.6727771306541</v>
      </c>
      <c r="K14" s="74">
        <v>30.187067700000011</v>
      </c>
      <c r="L14" s="28">
        <v>1.4584593559339003</v>
      </c>
      <c r="M14" s="28"/>
      <c r="N14" s="12">
        <v>7420.2011725417033</v>
      </c>
      <c r="O14" s="74">
        <v>19.525126819999986</v>
      </c>
      <c r="P14" s="28">
        <v>1.0554305374224895</v>
      </c>
      <c r="Q14" s="28"/>
      <c r="R14" s="12">
        <v>6073.914571090334</v>
      </c>
      <c r="S14" s="74">
        <v>7.0207707400000059</v>
      </c>
      <c r="T14" s="28">
        <v>0.46877718554704129</v>
      </c>
    </row>
    <row r="15" spans="1:20" x14ac:dyDescent="0.35">
      <c r="A15" t="s">
        <v>168</v>
      </c>
      <c r="B15" s="12">
        <v>650.95275824175826</v>
      </c>
      <c r="C15" s="74">
        <v>11.33038515</v>
      </c>
      <c r="D15" s="28">
        <v>7.0005940487806697</v>
      </c>
      <c r="E15" s="28"/>
      <c r="F15" s="12">
        <v>599.14200000000005</v>
      </c>
      <c r="G15" s="74">
        <v>10.658440473926944</v>
      </c>
      <c r="H15" s="28">
        <v>7.0577933201422498</v>
      </c>
      <c r="I15" s="28"/>
      <c r="J15" s="12">
        <v>599.14200000000005</v>
      </c>
      <c r="K15" s="74">
        <v>10.434595556073058</v>
      </c>
      <c r="L15" s="28">
        <v>6.9095679611095058</v>
      </c>
      <c r="M15" s="28"/>
      <c r="N15" s="12">
        <v>599.14200000000005</v>
      </c>
      <c r="O15" s="74">
        <v>9.2078274400000009</v>
      </c>
      <c r="P15" s="28">
        <v>6.1642306292870597</v>
      </c>
      <c r="Q15" s="28"/>
      <c r="R15" s="12">
        <v>599.14200000000005</v>
      </c>
      <c r="S15" s="74">
        <v>8.2115273599999998</v>
      </c>
      <c r="T15" s="28">
        <v>5.5583326497632344</v>
      </c>
    </row>
    <row r="16" spans="1:20" x14ac:dyDescent="0.35">
      <c r="A16" t="s">
        <v>169</v>
      </c>
      <c r="B16" s="12"/>
      <c r="C16" s="74">
        <v>2.3864536999999997</v>
      </c>
      <c r="D16" s="28"/>
      <c r="E16" s="28"/>
      <c r="F16" s="12"/>
      <c r="G16" s="74">
        <v>2.7925813627395892</v>
      </c>
      <c r="H16" s="28"/>
      <c r="I16" s="28"/>
      <c r="J16" s="12"/>
      <c r="K16" s="74">
        <v>6.2539119572604864</v>
      </c>
      <c r="L16" s="28"/>
      <c r="M16" s="28"/>
      <c r="N16" s="12"/>
      <c r="O16" s="74">
        <v>5.9805759499999489</v>
      </c>
      <c r="P16" s="28"/>
      <c r="Q16" s="28"/>
      <c r="R16" s="12"/>
      <c r="S16" s="74">
        <v>2.6758135599999813</v>
      </c>
      <c r="T16" s="28"/>
    </row>
    <row r="17" spans="1:20" ht="18" thickBot="1" x14ac:dyDescent="0.4">
      <c r="A17" s="89" t="s">
        <v>170</v>
      </c>
      <c r="B17" s="93">
        <v>97122.718099574151</v>
      </c>
      <c r="C17" s="100">
        <v>301.91902618</v>
      </c>
      <c r="D17" s="101"/>
      <c r="E17" s="101"/>
      <c r="F17" s="93">
        <v>96198.587131209148</v>
      </c>
      <c r="G17" s="100">
        <v>285.34571116999984</v>
      </c>
      <c r="H17" s="101"/>
      <c r="I17" s="101"/>
      <c r="J17" s="93">
        <v>96251.690597943903</v>
      </c>
      <c r="K17" s="100">
        <v>256.32783622000022</v>
      </c>
      <c r="L17" s="101"/>
      <c r="M17" s="101"/>
      <c r="N17" s="93">
        <v>101196.39267416115</v>
      </c>
      <c r="O17" s="100">
        <v>263.39026491999994</v>
      </c>
      <c r="P17" s="101"/>
      <c r="Q17" s="101"/>
      <c r="R17" s="93">
        <v>102051.45765269385</v>
      </c>
      <c r="S17" s="100">
        <v>186.62933283999999</v>
      </c>
      <c r="T17" s="101"/>
    </row>
    <row r="18" spans="1:20" ht="18" thickBot="1" x14ac:dyDescent="0.4">
      <c r="A18" s="130" t="s">
        <v>171</v>
      </c>
      <c r="B18" s="131"/>
      <c r="C18" s="131"/>
      <c r="D18" s="132">
        <v>2.914180892453877</v>
      </c>
      <c r="E18" s="132"/>
      <c r="F18" s="131"/>
      <c r="G18" s="131"/>
      <c r="H18" s="132">
        <v>2.7474909754116492</v>
      </c>
      <c r="I18" s="132"/>
      <c r="J18" s="131"/>
      <c r="K18" s="131"/>
      <c r="L18" s="132">
        <v>2.6143365478402218</v>
      </c>
      <c r="M18" s="132"/>
      <c r="N18" s="131"/>
      <c r="O18" s="131"/>
      <c r="P18" s="132">
        <v>2.2553710121398338</v>
      </c>
      <c r="Q18" s="132"/>
      <c r="R18" s="131"/>
      <c r="S18" s="131"/>
      <c r="T18" s="132">
        <v>2.009333696306189</v>
      </c>
    </row>
    <row r="19" spans="1:20" x14ac:dyDescent="0.35">
      <c r="A19" s="89" t="s">
        <v>131</v>
      </c>
      <c r="B19" s="93"/>
      <c r="C19" s="100">
        <v>390.32227815999983</v>
      </c>
      <c r="D19" s="100"/>
      <c r="E19" s="100"/>
      <c r="F19" s="100"/>
      <c r="G19" s="100">
        <v>380.1888389500001</v>
      </c>
      <c r="H19" s="100"/>
      <c r="I19" s="100"/>
      <c r="J19" s="100"/>
      <c r="K19" s="100">
        <v>357.37435380999989</v>
      </c>
      <c r="L19" s="100"/>
      <c r="M19" s="100"/>
      <c r="N19" s="100"/>
      <c r="O19" s="100">
        <v>320.58020837000015</v>
      </c>
      <c r="P19" s="100"/>
      <c r="Q19" s="100"/>
      <c r="R19" s="100"/>
      <c r="S19" s="100">
        <v>295.08479162999993</v>
      </c>
      <c r="T19" s="102"/>
    </row>
    <row r="20" spans="1:20" x14ac:dyDescent="0.35">
      <c r="A20" s="10" t="s">
        <v>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Q20" s="10"/>
    </row>
    <row r="21" spans="1:20" x14ac:dyDescent="0.35">
      <c r="A21" s="10" t="s">
        <v>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44"/>
    </row>
    <row r="22" spans="1:20" x14ac:dyDescent="0.35">
      <c r="A22" s="10" t="s">
        <v>6</v>
      </c>
      <c r="B22" s="10"/>
      <c r="C22" s="10"/>
      <c r="D22" s="10"/>
      <c r="E22" s="10"/>
      <c r="F22" s="10"/>
      <c r="G22" s="10"/>
      <c r="H22" s="10"/>
      <c r="I22" s="10"/>
      <c r="J22" s="103" t="s">
        <v>7</v>
      </c>
      <c r="K22" s="10"/>
      <c r="L22" s="10"/>
      <c r="M22" s="10"/>
      <c r="O22" s="10"/>
      <c r="P22" s="10"/>
      <c r="Q22" s="10"/>
      <c r="R22" s="10"/>
      <c r="S22" s="10"/>
      <c r="T22" s="10"/>
    </row>
    <row r="23" spans="1:20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35">
      <c r="A24" s="10"/>
      <c r="B24" s="10"/>
      <c r="C24" s="83"/>
      <c r="D24" s="10"/>
      <c r="E24" s="10"/>
      <c r="F24" s="10"/>
      <c r="G24" s="83"/>
      <c r="H24" s="82"/>
      <c r="I24" s="10"/>
      <c r="J24" s="10"/>
      <c r="K24" s="10"/>
      <c r="L24" s="10"/>
      <c r="M24" s="10"/>
      <c r="Q24" s="10"/>
    </row>
  </sheetData>
  <mergeCells count="5">
    <mergeCell ref="B3:D3"/>
    <mergeCell ref="F3:H3"/>
    <mergeCell ref="J3:L3"/>
    <mergeCell ref="N3:P3"/>
    <mergeCell ref="R3:T3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67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7.25" x14ac:dyDescent="0.35"/>
  <cols>
    <col min="1" max="1" width="54.44140625" customWidth="1"/>
    <col min="2" max="8" width="9.77734375" customWidth="1"/>
  </cols>
  <sheetData>
    <row r="1" spans="1:8" ht="18" x14ac:dyDescent="0.35">
      <c r="A1" s="18" t="s">
        <v>172</v>
      </c>
      <c r="B1" s="77">
        <f>MAX(Relevantes!B2)</f>
        <v>45382</v>
      </c>
      <c r="C1" s="77">
        <f>EOMONTH(B1,-3)</f>
        <v>45291</v>
      </c>
      <c r="D1" s="77">
        <f t="shared" ref="D1:F1" si="0">EOMONTH(C1,-3)</f>
        <v>45199</v>
      </c>
      <c r="E1" s="77">
        <f t="shared" si="0"/>
        <v>45107</v>
      </c>
      <c r="F1" s="77">
        <f t="shared" si="0"/>
        <v>45016</v>
      </c>
    </row>
    <row r="2" spans="1:8" ht="35.25" thickBot="1" x14ac:dyDescent="0.4">
      <c r="A2" s="19" t="s">
        <v>48</v>
      </c>
      <c r="B2" s="22" t="s">
        <v>280</v>
      </c>
      <c r="C2" s="22" t="s">
        <v>273</v>
      </c>
      <c r="D2" s="22" t="s">
        <v>271</v>
      </c>
      <c r="E2" s="22" t="s">
        <v>270</v>
      </c>
      <c r="F2" s="22" t="s">
        <v>261</v>
      </c>
      <c r="G2" s="21" t="s">
        <v>207</v>
      </c>
      <c r="H2" s="84" t="s">
        <v>281</v>
      </c>
    </row>
    <row r="3" spans="1:8" x14ac:dyDescent="0.35">
      <c r="A3" s="109" t="s">
        <v>173</v>
      </c>
      <c r="B3" s="110">
        <v>143.05553700000002</v>
      </c>
      <c r="C3" s="110">
        <v>143.34707199999997</v>
      </c>
      <c r="D3" s="110">
        <v>146.98804999999999</v>
      </c>
      <c r="E3" s="110">
        <v>144.75399999999996</v>
      </c>
      <c r="F3" s="110">
        <v>145.94900000000001</v>
      </c>
      <c r="G3" s="133">
        <v>-2.0337701770424266E-3</v>
      </c>
      <c r="H3" s="111">
        <v>-1.9825164954881513E-2</v>
      </c>
    </row>
    <row r="4" spans="1:8" x14ac:dyDescent="0.35">
      <c r="A4" t="s">
        <v>174</v>
      </c>
      <c r="B4" s="12">
        <v>69.538713999999999</v>
      </c>
      <c r="C4" s="12">
        <v>71.650055000000009</v>
      </c>
      <c r="D4" s="12">
        <v>75.102343487999974</v>
      </c>
      <c r="E4" s="12">
        <v>75.164250622000026</v>
      </c>
      <c r="F4" s="12">
        <v>73.102350889999997</v>
      </c>
      <c r="G4" s="23">
        <v>-2.9467402362775674E-2</v>
      </c>
      <c r="H4" s="61">
        <v>-4.8748594903087916E-2</v>
      </c>
    </row>
    <row r="5" spans="1:8" x14ac:dyDescent="0.35">
      <c r="A5" t="s">
        <v>262</v>
      </c>
      <c r="B5" s="12">
        <v>27.735889889999999</v>
      </c>
      <c r="C5" s="12">
        <v>21.397519000000003</v>
      </c>
      <c r="D5" s="12">
        <v>23.936990999999992</v>
      </c>
      <c r="E5" s="12">
        <v>25.357693680000004</v>
      </c>
      <c r="F5" s="12">
        <v>24.997796319999999</v>
      </c>
      <c r="G5" s="23">
        <v>0.29621989773674207</v>
      </c>
      <c r="H5" s="61">
        <v>0.10953339786232807</v>
      </c>
    </row>
    <row r="6" spans="1:8" x14ac:dyDescent="0.35">
      <c r="A6" t="s">
        <v>263</v>
      </c>
      <c r="B6" s="12">
        <v>31.035</v>
      </c>
      <c r="C6" s="12">
        <v>34.268969000000013</v>
      </c>
      <c r="D6" s="12">
        <v>33.260999999999996</v>
      </c>
      <c r="E6" s="12">
        <v>31.204000000000001</v>
      </c>
      <c r="F6" s="12">
        <v>32.988030999999999</v>
      </c>
      <c r="G6" s="23">
        <v>-9.4370186625690744E-2</v>
      </c>
      <c r="H6" s="61">
        <v>-5.9204230770851352E-2</v>
      </c>
    </row>
    <row r="7" spans="1:8" x14ac:dyDescent="0.35">
      <c r="A7" t="s">
        <v>264</v>
      </c>
      <c r="B7" s="12">
        <v>2.5631441100000001</v>
      </c>
      <c r="C7" s="12">
        <v>2.5516319999999988</v>
      </c>
      <c r="D7" s="12">
        <v>2.663894</v>
      </c>
      <c r="E7" s="12">
        <v>2.3746153200000006</v>
      </c>
      <c r="F7" s="12">
        <v>2.6738586799999999</v>
      </c>
      <c r="G7" s="23">
        <v>4.5116654752728191E-3</v>
      </c>
      <c r="H7" s="61">
        <v>-4.1406290776743626E-2</v>
      </c>
    </row>
    <row r="8" spans="1:8" x14ac:dyDescent="0.35">
      <c r="A8" t="s">
        <v>175</v>
      </c>
      <c r="B8" s="12">
        <v>12.182789000000014</v>
      </c>
      <c r="C8" s="12">
        <v>13.478896999999961</v>
      </c>
      <c r="D8" s="12">
        <v>12.023821511999984</v>
      </c>
      <c r="E8" s="12">
        <v>10.653440377999914</v>
      </c>
      <c r="F8" s="12">
        <v>12.186963110000022</v>
      </c>
      <c r="G8" s="23">
        <v>-9.6158313250702232E-2</v>
      </c>
      <c r="H8" s="61">
        <v>-3.4250616518094468E-4</v>
      </c>
    </row>
    <row r="9" spans="1:8" x14ac:dyDescent="0.35">
      <c r="A9" s="109" t="s">
        <v>176</v>
      </c>
      <c r="B9" s="110">
        <v>12.877281249999999</v>
      </c>
      <c r="C9" s="110">
        <v>10.572729999999993</v>
      </c>
      <c r="D9" s="110">
        <v>15.439067000000005</v>
      </c>
      <c r="E9" s="110">
        <v>10.606</v>
      </c>
      <c r="F9" s="110">
        <v>10.996</v>
      </c>
      <c r="G9" s="133">
        <v>0.21797125718712262</v>
      </c>
      <c r="H9" s="111">
        <v>0.1710877819206984</v>
      </c>
    </row>
    <row r="10" spans="1:8" x14ac:dyDescent="0.35">
      <c r="A10" s="89" t="s">
        <v>177</v>
      </c>
      <c r="B10" s="93">
        <v>130.17825575000001</v>
      </c>
      <c r="C10" s="93">
        <v>132.77434199999999</v>
      </c>
      <c r="D10" s="93">
        <v>131.54898299999996</v>
      </c>
      <c r="E10" s="93">
        <v>134.148</v>
      </c>
      <c r="F10" s="93">
        <v>134.953</v>
      </c>
      <c r="G10" s="94">
        <v>-1.9552619963275619E-2</v>
      </c>
      <c r="H10" s="95">
        <v>-3.538079368372693E-2</v>
      </c>
    </row>
    <row r="67" spans="1:4" x14ac:dyDescent="0.35">
      <c r="A67" s="41"/>
      <c r="B67" s="41"/>
      <c r="C67" s="41"/>
      <c r="D67" s="41"/>
    </row>
  </sheetData>
  <pageMargins left="0.70866141732283472" right="0.70866141732283472" top="0.74803149606299213" bottom="0.74803149606299213" header="0.31496062992125984" footer="0.31496062992125984"/>
  <pageSetup paperSize="9" scale="51" orientation="portrait" horizontalDpi="4294967294" verticalDpi="429496729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32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3" sqref="B23"/>
    </sheetView>
  </sheetViews>
  <sheetFormatPr baseColWidth="10" defaultRowHeight="17.25" x14ac:dyDescent="0.35"/>
  <cols>
    <col min="1" max="1" width="50.6640625" customWidth="1"/>
    <col min="2" max="3" width="11.21875" customWidth="1"/>
    <col min="4" max="5" width="11.33203125" customWidth="1"/>
    <col min="8" max="8" width="12.33203125" customWidth="1"/>
    <col min="9" max="9" width="16.33203125" customWidth="1"/>
    <col min="10" max="11" width="11.33203125" customWidth="1"/>
    <col min="12" max="14" width="8.77734375" bestFit="1" customWidth="1"/>
  </cols>
  <sheetData>
    <row r="1" spans="1:10" ht="18" x14ac:dyDescent="0.35">
      <c r="A1" s="18" t="s">
        <v>3</v>
      </c>
      <c r="B1" s="18"/>
      <c r="C1" s="18"/>
      <c r="D1" s="18"/>
      <c r="E1" s="136" t="s">
        <v>126</v>
      </c>
      <c r="F1" s="136"/>
    </row>
    <row r="2" spans="1:10" ht="18" thickBot="1" x14ac:dyDescent="0.4">
      <c r="A2" s="19" t="s">
        <v>48</v>
      </c>
      <c r="B2" s="21">
        <f>MAX(Relevantes!$2:$2)</f>
        <v>45382</v>
      </c>
      <c r="C2" s="21">
        <f>EOMONTH(B2,-3)</f>
        <v>45291</v>
      </c>
      <c r="D2" s="21">
        <f>EOMONTH(B2,-12)</f>
        <v>45016</v>
      </c>
      <c r="E2" s="21" t="s">
        <v>127</v>
      </c>
      <c r="F2" s="21" t="s">
        <v>128</v>
      </c>
    </row>
    <row r="3" spans="1:10" x14ac:dyDescent="0.35">
      <c r="A3" t="s">
        <v>178</v>
      </c>
      <c r="B3" s="12">
        <v>48987.687151639999</v>
      </c>
      <c r="C3" s="12">
        <v>49892.511863390006</v>
      </c>
      <c r="D3" s="12">
        <v>53513.242139477989</v>
      </c>
      <c r="E3" s="12">
        <f t="shared" ref="E3:E8" si="0">+B3-D3</f>
        <v>-4525.5549878379898</v>
      </c>
      <c r="F3" s="59">
        <f>+E3/D3</f>
        <v>-8.4568880652801645E-2</v>
      </c>
    </row>
    <row r="4" spans="1:10" x14ac:dyDescent="0.35">
      <c r="A4" s="11" t="s">
        <v>179</v>
      </c>
      <c r="B4" s="12">
        <v>0</v>
      </c>
      <c r="C4" s="12">
        <v>0</v>
      </c>
      <c r="D4" s="12">
        <v>0</v>
      </c>
      <c r="E4" s="12">
        <f t="shared" si="0"/>
        <v>0</v>
      </c>
      <c r="F4" s="59"/>
    </row>
    <row r="5" spans="1:10" x14ac:dyDescent="0.35">
      <c r="A5" s="109" t="s">
        <v>180</v>
      </c>
      <c r="B5" s="110">
        <f>+SUM(B3:B4)</f>
        <v>48987.687151639999</v>
      </c>
      <c r="C5" s="110">
        <f>+SUM(C3:C4)</f>
        <v>49892.511863390006</v>
      </c>
      <c r="D5" s="110">
        <f>+SUM(D3:D4)</f>
        <v>53513.242139477989</v>
      </c>
      <c r="E5" s="110">
        <f t="shared" si="0"/>
        <v>-4525.5549878379898</v>
      </c>
      <c r="F5" s="111">
        <f>+E5/D5</f>
        <v>-8.4568880652801645E-2</v>
      </c>
    </row>
    <row r="6" spans="1:10" x14ac:dyDescent="0.35">
      <c r="A6" t="s">
        <v>181</v>
      </c>
      <c r="B6" s="12">
        <v>70713.415476099995</v>
      </c>
      <c r="C6" s="12">
        <v>71935.161035509984</v>
      </c>
      <c r="D6" s="12">
        <v>72540.260879719994</v>
      </c>
      <c r="E6" s="12">
        <f t="shared" si="0"/>
        <v>-1826.8454036199983</v>
      </c>
      <c r="F6" s="59">
        <f>+E6/D6</f>
        <v>-2.5183882460101926E-2</v>
      </c>
      <c r="I6" s="12"/>
      <c r="J6" s="12"/>
    </row>
    <row r="7" spans="1:10" x14ac:dyDescent="0.35">
      <c r="A7" s="11" t="s">
        <v>182</v>
      </c>
      <c r="B7" s="12">
        <v>-4022.0512820000004</v>
      </c>
      <c r="C7" s="12">
        <v>-4197.62079894</v>
      </c>
      <c r="D7" s="12">
        <v>-4654.84530206</v>
      </c>
      <c r="E7" s="12">
        <f t="shared" si="0"/>
        <v>632.79402005999964</v>
      </c>
      <c r="F7" s="59">
        <f>+E7/D7</f>
        <v>-0.13594308274433028</v>
      </c>
    </row>
    <row r="8" spans="1:10" x14ac:dyDescent="0.35">
      <c r="A8" s="109" t="s">
        <v>183</v>
      </c>
      <c r="B8" s="110">
        <f>+SUM(B6:B7)</f>
        <v>66691.364194099995</v>
      </c>
      <c r="C8" s="110">
        <f>+SUM(C6:C7)</f>
        <v>67737.540236569985</v>
      </c>
      <c r="D8" s="110">
        <f>+SUM(D6:D7)</f>
        <v>67885.415577659995</v>
      </c>
      <c r="E8" s="110">
        <f t="shared" si="0"/>
        <v>-1194.0513835599995</v>
      </c>
      <c r="F8" s="111">
        <f>+E8/D8</f>
        <v>-1.7589218146481272E-2</v>
      </c>
    </row>
    <row r="9" spans="1:10" ht="6" customHeight="1" x14ac:dyDescent="0.35">
      <c r="F9" s="59"/>
    </row>
    <row r="10" spans="1:10" x14ac:dyDescent="0.35">
      <c r="A10" s="89" t="s">
        <v>184</v>
      </c>
      <c r="B10" s="95">
        <f>+B5/B8</f>
        <v>0.73454318626719306</v>
      </c>
      <c r="C10" s="95">
        <f>+C5/C8</f>
        <v>0.73655629786884635</v>
      </c>
      <c r="D10" s="95">
        <f t="shared" ref="D10" si="1">+D5/D8</f>
        <v>0.78828775936798334</v>
      </c>
      <c r="E10" s="95"/>
      <c r="F10" s="106">
        <f>(B10-D10)*100</f>
        <v>-5.3744573100790287</v>
      </c>
    </row>
    <row r="13" spans="1:10" x14ac:dyDescent="0.35">
      <c r="E13" s="136" t="s">
        <v>126</v>
      </c>
      <c r="F13" s="136"/>
    </row>
    <row r="14" spans="1:10" ht="18" thickBot="1" x14ac:dyDescent="0.4">
      <c r="A14" s="1" t="s">
        <v>185</v>
      </c>
      <c r="B14" s="21">
        <f>+B2</f>
        <v>45382</v>
      </c>
      <c r="C14" s="21">
        <f>+C2</f>
        <v>45291</v>
      </c>
      <c r="D14" s="21">
        <f>+D2</f>
        <v>45016</v>
      </c>
      <c r="E14" s="21" t="s">
        <v>127</v>
      </c>
      <c r="F14" s="21" t="s">
        <v>128</v>
      </c>
    </row>
    <row r="15" spans="1:10" x14ac:dyDescent="0.35">
      <c r="A15" t="s">
        <v>186</v>
      </c>
      <c r="B15" s="12">
        <v>9243.7940110083346</v>
      </c>
      <c r="C15" s="12">
        <v>6580.2838800183335</v>
      </c>
      <c r="D15" s="12">
        <v>10844.4236162125</v>
      </c>
      <c r="E15" s="12">
        <f t="shared" ref="E15:E17" si="2">+B15-D15</f>
        <v>-1600.6296052041653</v>
      </c>
      <c r="F15" s="59">
        <f t="shared" ref="F15:F17" si="3">+E15/D15</f>
        <v>-0.14759932494809694</v>
      </c>
    </row>
    <row r="16" spans="1:10" x14ac:dyDescent="0.35">
      <c r="A16" t="s">
        <v>187</v>
      </c>
      <c r="B16" s="12">
        <v>942.39556837667044</v>
      </c>
      <c r="C16" s="12">
        <v>1437.4430752902106</v>
      </c>
      <c r="D16" s="12">
        <v>818.54385363520998</v>
      </c>
      <c r="E16" s="12">
        <f t="shared" si="2"/>
        <v>123.85171474146046</v>
      </c>
      <c r="F16" s="59">
        <f t="shared" si="3"/>
        <v>0.15130736635725309</v>
      </c>
    </row>
    <row r="17" spans="1:6" x14ac:dyDescent="0.35">
      <c r="A17" t="s">
        <v>188</v>
      </c>
      <c r="B17" s="12">
        <v>28938.323120375506</v>
      </c>
      <c r="C17" s="12">
        <v>29165.030222159261</v>
      </c>
      <c r="D17" s="12">
        <v>28074.216153217647</v>
      </c>
      <c r="E17" s="12">
        <f t="shared" si="2"/>
        <v>864.10696715785889</v>
      </c>
      <c r="F17" s="59">
        <f t="shared" si="3"/>
        <v>3.0779379999139236E-2</v>
      </c>
    </row>
    <row r="18" spans="1:6" x14ac:dyDescent="0.35">
      <c r="A18" s="109" t="s">
        <v>189</v>
      </c>
      <c r="B18" s="110">
        <f>+SUM(B15:B17)</f>
        <v>39124.512699760511</v>
      </c>
      <c r="C18" s="110">
        <f t="shared" ref="C18:D18" si="4">+SUM(C15:C17)</f>
        <v>37182.757177467807</v>
      </c>
      <c r="D18" s="110">
        <f t="shared" si="4"/>
        <v>39737.183623065357</v>
      </c>
      <c r="E18" s="110">
        <f t="shared" ref="E18" si="5">+B18-D18</f>
        <v>-612.67092330484593</v>
      </c>
      <c r="F18" s="111">
        <f>+E18/D18</f>
        <v>-1.5418076155483311E-2</v>
      </c>
    </row>
    <row r="19" spans="1:6" ht="5.25" customHeight="1" x14ac:dyDescent="0.35">
      <c r="F19" s="59"/>
    </row>
    <row r="20" spans="1:6" x14ac:dyDescent="0.35">
      <c r="A20" s="1" t="s">
        <v>190</v>
      </c>
      <c r="B20" s="1"/>
      <c r="C20" s="1"/>
      <c r="D20" s="1"/>
      <c r="F20" s="59"/>
    </row>
    <row r="21" spans="1:6" x14ac:dyDescent="0.35">
      <c r="A21" t="s">
        <v>191</v>
      </c>
      <c r="B21" s="12">
        <v>0</v>
      </c>
      <c r="C21" s="12">
        <v>953.97141885000008</v>
      </c>
      <c r="D21" s="12">
        <v>5352.6567005900006</v>
      </c>
      <c r="E21" s="12">
        <f t="shared" ref="E21:E23" si="6">+B21-D21</f>
        <v>-5352.6567005900006</v>
      </c>
      <c r="F21" s="59">
        <f t="shared" ref="F21:F22" si="7">+E21/D21</f>
        <v>-1</v>
      </c>
    </row>
    <row r="22" spans="1:6" x14ac:dyDescent="0.35">
      <c r="A22" t="s">
        <v>192</v>
      </c>
      <c r="B22" s="12">
        <v>9210.2791312933023</v>
      </c>
      <c r="C22" s="12">
        <v>6990.4843923599492</v>
      </c>
      <c r="D22" s="12">
        <v>10577.501187433929</v>
      </c>
      <c r="E22" s="12">
        <f t="shared" si="6"/>
        <v>-1367.2220561406266</v>
      </c>
      <c r="F22" s="59">
        <f t="shared" si="7"/>
        <v>-0.12925756583841241</v>
      </c>
    </row>
    <row r="23" spans="1:6" x14ac:dyDescent="0.35">
      <c r="A23" s="109" t="s">
        <v>193</v>
      </c>
      <c r="B23" s="110">
        <f>+SUM(B21:B22)</f>
        <v>9210.2791312933023</v>
      </c>
      <c r="C23" s="110">
        <f t="shared" ref="C23:D23" si="8">+SUM(C21:C22)</f>
        <v>7944.4558112099494</v>
      </c>
      <c r="D23" s="110">
        <f t="shared" si="8"/>
        <v>15930.157888023929</v>
      </c>
      <c r="E23" s="110">
        <f t="shared" si="6"/>
        <v>-6719.8787567306263</v>
      </c>
      <c r="F23" s="111">
        <f>+E23/D23</f>
        <v>-0.42183378243743197</v>
      </c>
    </row>
    <row r="24" spans="1:6" x14ac:dyDescent="0.35">
      <c r="F24" s="59"/>
    </row>
    <row r="25" spans="1:6" x14ac:dyDescent="0.35">
      <c r="A25" s="89" t="s">
        <v>194</v>
      </c>
      <c r="B25" s="93">
        <f>+B18-B23</f>
        <v>29914.233568467207</v>
      </c>
      <c r="C25" s="93">
        <f t="shared" ref="C25:D25" si="9">+C18-C23</f>
        <v>29238.30136625786</v>
      </c>
      <c r="D25" s="93">
        <f t="shared" si="9"/>
        <v>23807.025735041429</v>
      </c>
      <c r="E25" s="105">
        <f>+B25-D25</f>
        <v>6107.2078334257785</v>
      </c>
      <c r="F25" s="95">
        <f>+E25/D25</f>
        <v>0.25652964387049043</v>
      </c>
    </row>
    <row r="26" spans="1:6" x14ac:dyDescent="0.35">
      <c r="A26" s="111" t="s">
        <v>195</v>
      </c>
      <c r="B26" s="111">
        <v>0.30809943705896781</v>
      </c>
      <c r="C26" s="111">
        <v>0.30095218342226177</v>
      </c>
      <c r="D26" s="111">
        <v>0.22644474061415459</v>
      </c>
      <c r="E26" s="134"/>
      <c r="F26" s="111"/>
    </row>
    <row r="27" spans="1:6" x14ac:dyDescent="0.35">
      <c r="A27" s="14" t="s">
        <v>196</v>
      </c>
      <c r="B27" s="14"/>
      <c r="C27" s="14"/>
      <c r="D27" s="14"/>
    </row>
    <row r="28" spans="1:6" x14ac:dyDescent="0.35">
      <c r="A28" s="14"/>
      <c r="B28" s="14"/>
      <c r="C28" s="14"/>
      <c r="D28" s="12"/>
    </row>
    <row r="30" spans="1:6" ht="18" thickBot="1" x14ac:dyDescent="0.4">
      <c r="A30" s="89" t="s">
        <v>8</v>
      </c>
      <c r="B30" s="21">
        <f>+B14</f>
        <v>45382</v>
      </c>
      <c r="C30" s="21">
        <f t="shared" ref="C30:D30" si="10">+C14</f>
        <v>45291</v>
      </c>
      <c r="D30" s="21">
        <f t="shared" si="10"/>
        <v>45016</v>
      </c>
      <c r="E30" s="22" t="s">
        <v>207</v>
      </c>
      <c r="F30" s="22" t="s">
        <v>208</v>
      </c>
    </row>
    <row r="31" spans="1:6" x14ac:dyDescent="0.35">
      <c r="A31" t="s">
        <v>0</v>
      </c>
      <c r="B31" s="29">
        <v>2.94</v>
      </c>
      <c r="C31" s="29">
        <v>3.08</v>
      </c>
      <c r="D31" s="29">
        <v>2.98</v>
      </c>
      <c r="E31" s="38">
        <f>+(B31-C31)*100</f>
        <v>-14.000000000000012</v>
      </c>
      <c r="F31" s="38">
        <f>+(B31-D31)*100</f>
        <v>-4.0000000000000036</v>
      </c>
    </row>
    <row r="32" spans="1:6" x14ac:dyDescent="0.35">
      <c r="A32" t="s">
        <v>1</v>
      </c>
      <c r="B32" s="29">
        <v>1.5669999999999999</v>
      </c>
      <c r="C32" s="29">
        <v>1.4850000000000001</v>
      </c>
      <c r="D32" s="29">
        <v>1.44</v>
      </c>
      <c r="E32" s="38">
        <f>+(B32-C32)*100</f>
        <v>8.1999999999999851</v>
      </c>
      <c r="F32" s="38">
        <f>+(B32-D32)*100</f>
        <v>12.7</v>
      </c>
    </row>
  </sheetData>
  <mergeCells count="2">
    <mergeCell ref="E1:F1"/>
    <mergeCell ref="E13:F13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44"/>
  <sheetViews>
    <sheetView showGridLines="0" zoomScale="85" zoomScaleNormal="85" workbookViewId="0">
      <pane xSplit="1" ySplit="3" topLeftCell="B8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7.25" x14ac:dyDescent="0.35"/>
  <cols>
    <col min="1" max="1" width="54.77734375" customWidth="1"/>
    <col min="2" max="2" width="11.21875" customWidth="1"/>
    <col min="3" max="6" width="11.33203125" customWidth="1"/>
  </cols>
  <sheetData>
    <row r="1" spans="1:6" ht="18" x14ac:dyDescent="0.35">
      <c r="A1" s="18" t="s">
        <v>21</v>
      </c>
      <c r="B1" s="18"/>
      <c r="C1" s="18"/>
      <c r="D1" s="18"/>
      <c r="E1" s="18"/>
      <c r="F1" s="18"/>
    </row>
    <row r="2" spans="1:6" x14ac:dyDescent="0.35">
      <c r="A2" s="89" t="s">
        <v>26</v>
      </c>
      <c r="B2" s="89"/>
    </row>
    <row r="3" spans="1:6" ht="18" thickBot="1" x14ac:dyDescent="0.4">
      <c r="A3" s="19" t="s">
        <v>27</v>
      </c>
      <c r="B3" s="21">
        <f>MAX(Relevantes!$2:$2)</f>
        <v>45382</v>
      </c>
      <c r="C3" s="21">
        <f>EOMONTH(B3,-3)</f>
        <v>45291</v>
      </c>
      <c r="D3" s="21">
        <f>EOMONTH(B3,-12)</f>
        <v>45016</v>
      </c>
      <c r="E3" s="22" t="s">
        <v>207</v>
      </c>
      <c r="F3" s="22" t="s">
        <v>208</v>
      </c>
    </row>
    <row r="4" spans="1:6" x14ac:dyDescent="0.35">
      <c r="A4" s="109" t="s">
        <v>28</v>
      </c>
      <c r="B4" s="110">
        <v>5648.8380970195667</v>
      </c>
      <c r="C4" s="110">
        <v>5617.2633481675875</v>
      </c>
      <c r="D4" s="110">
        <v>5709.0158673699998</v>
      </c>
      <c r="E4" s="110">
        <f>+B4-C4</f>
        <v>31.574748851979166</v>
      </c>
      <c r="F4" s="110">
        <f>+B4-D4</f>
        <v>-60.177770350433093</v>
      </c>
    </row>
    <row r="5" spans="1:6" x14ac:dyDescent="0.35">
      <c r="A5" s="17" t="s">
        <v>29</v>
      </c>
      <c r="B5" s="12">
        <v>4201.4776040195666</v>
      </c>
      <c r="C5" s="12">
        <v>4469.9028551675874</v>
      </c>
      <c r="D5" s="12">
        <v>4546.6308923699999</v>
      </c>
      <c r="E5" s="12">
        <f t="shared" ref="E5:E13" si="0">+B5-C5</f>
        <v>-268.42525114802083</v>
      </c>
      <c r="F5" s="12">
        <f t="shared" ref="F5:F13" si="1">+B5-D5</f>
        <v>-345.15328835043329</v>
      </c>
    </row>
    <row r="6" spans="1:6" x14ac:dyDescent="0.35">
      <c r="A6" s="4" t="s">
        <v>30</v>
      </c>
      <c r="B6" s="12">
        <v>1873.1310763699998</v>
      </c>
      <c r="C6" s="12">
        <v>1873.1310763699998</v>
      </c>
      <c r="D6" s="12">
        <v>1873.1308923700001</v>
      </c>
      <c r="E6" s="12">
        <f t="shared" si="0"/>
        <v>0</v>
      </c>
      <c r="F6" s="12">
        <f t="shared" si="1"/>
        <v>1.8399999976281833E-4</v>
      </c>
    </row>
    <row r="7" spans="1:6" x14ac:dyDescent="0.35">
      <c r="A7" s="4" t="s">
        <v>31</v>
      </c>
      <c r="B7" s="12">
        <v>3964.1249005886939</v>
      </c>
      <c r="C7" s="12">
        <v>3837.7609036615941</v>
      </c>
      <c r="D7" s="12">
        <v>3874</v>
      </c>
      <c r="E7" s="12">
        <f t="shared" si="0"/>
        <v>126.36399692709983</v>
      </c>
      <c r="F7" s="12">
        <f t="shared" si="1"/>
        <v>90.12490058869389</v>
      </c>
    </row>
    <row r="8" spans="1:6" x14ac:dyDescent="0.35">
      <c r="A8" s="4" t="s">
        <v>32</v>
      </c>
      <c r="B8" s="12">
        <v>52.885648341809549</v>
      </c>
      <c r="C8" s="12">
        <v>126.52518560933635</v>
      </c>
      <c r="D8" s="12">
        <v>14.5</v>
      </c>
      <c r="E8" s="12">
        <f t="shared" si="0"/>
        <v>-73.639537267526805</v>
      </c>
      <c r="F8" s="12">
        <f t="shared" si="1"/>
        <v>38.385648341809549</v>
      </c>
    </row>
    <row r="9" spans="1:6" x14ac:dyDescent="0.35">
      <c r="A9" s="4" t="s">
        <v>33</v>
      </c>
      <c r="B9" s="12">
        <v>-1424.8866892088524</v>
      </c>
      <c r="C9" s="12">
        <v>-1343.8827008329076</v>
      </c>
      <c r="D9" s="12">
        <v>-1402</v>
      </c>
      <c r="E9" s="12">
        <f t="shared" si="0"/>
        <v>-81.0039883759448</v>
      </c>
      <c r="F9" s="12">
        <f t="shared" si="1"/>
        <v>-22.886689208852431</v>
      </c>
    </row>
    <row r="10" spans="1:6" x14ac:dyDescent="0.35">
      <c r="A10" s="4" t="s">
        <v>34</v>
      </c>
      <c r="B10" s="12">
        <v>-263.77733207208342</v>
      </c>
      <c r="C10" s="12">
        <v>-23.631609640435272</v>
      </c>
      <c r="D10" s="12">
        <v>187</v>
      </c>
      <c r="E10" s="12">
        <f t="shared" si="0"/>
        <v>-240.14572243164815</v>
      </c>
      <c r="F10" s="12">
        <f t="shared" si="1"/>
        <v>-450.77733207208342</v>
      </c>
    </row>
    <row r="11" spans="1:6" x14ac:dyDescent="0.35">
      <c r="A11" s="17" t="s">
        <v>35</v>
      </c>
      <c r="B11" s="12">
        <v>547.36049300000002</v>
      </c>
      <c r="C11" s="12">
        <v>547.36049300000002</v>
      </c>
      <c r="D11" s="12">
        <v>547.38497499999994</v>
      </c>
      <c r="E11" s="12">
        <f t="shared" si="0"/>
        <v>0</v>
      </c>
      <c r="F11" s="12">
        <f t="shared" si="1"/>
        <v>-2.4481999999920845E-2</v>
      </c>
    </row>
    <row r="12" spans="1:6" x14ac:dyDescent="0.35">
      <c r="A12" s="17" t="s">
        <v>36</v>
      </c>
      <c r="B12" s="12">
        <v>900</v>
      </c>
      <c r="C12" s="12">
        <v>600</v>
      </c>
      <c r="D12" s="12">
        <v>615</v>
      </c>
      <c r="E12" s="12">
        <f t="shared" si="0"/>
        <v>300</v>
      </c>
      <c r="F12" s="12">
        <f t="shared" si="1"/>
        <v>285</v>
      </c>
    </row>
    <row r="13" spans="1:6" x14ac:dyDescent="0.35">
      <c r="A13" s="109" t="s">
        <v>37</v>
      </c>
      <c r="B13" s="110">
        <v>28886.350276189478</v>
      </c>
      <c r="C13" s="110">
        <v>29840.72820088072</v>
      </c>
      <c r="D13" s="110">
        <v>32960</v>
      </c>
      <c r="E13" s="110">
        <f t="shared" si="0"/>
        <v>-954.37792469124179</v>
      </c>
      <c r="F13" s="110">
        <f t="shared" si="1"/>
        <v>-4073.6497238105221</v>
      </c>
    </row>
    <row r="14" spans="1:6" x14ac:dyDescent="0.35">
      <c r="A14" s="89" t="s">
        <v>38</v>
      </c>
      <c r="B14" s="96">
        <v>0.14544854451490788</v>
      </c>
      <c r="C14" s="96">
        <v>0.14979201663837621</v>
      </c>
      <c r="D14" s="96">
        <v>0.13794389843355581</v>
      </c>
      <c r="E14" s="97">
        <f>+(B14-C14)*100</f>
        <v>-0.43434721234683338</v>
      </c>
      <c r="F14" s="97">
        <f>+(B14-D14)*100</f>
        <v>0.75046460813520677</v>
      </c>
    </row>
    <row r="15" spans="1:6" x14ac:dyDescent="0.35">
      <c r="A15" t="s">
        <v>35</v>
      </c>
      <c r="B15" s="42">
        <v>1.8948759111710275E-2</v>
      </c>
      <c r="C15" s="42">
        <v>1.8342732433179871E-2</v>
      </c>
      <c r="D15" s="42">
        <v>1.6607553853155339E-2</v>
      </c>
      <c r="E15" s="80">
        <f>+(B15-C15)*100</f>
        <v>6.0602667853040457E-2</v>
      </c>
      <c r="F15" s="80">
        <f>+(B15-D15)*100</f>
        <v>0.2341205258554937</v>
      </c>
    </row>
    <row r="16" spans="1:6" x14ac:dyDescent="0.35">
      <c r="A16" t="s">
        <v>36</v>
      </c>
      <c r="B16" s="42">
        <v>3.1156584040381678E-2</v>
      </c>
      <c r="C16" s="42">
        <v>2.0106747930578036E-2</v>
      </c>
      <c r="D16" s="42">
        <v>1.865898058252427E-2</v>
      </c>
      <c r="E16" s="80">
        <f>+(B16-C16)*100</f>
        <v>1.1049836109803641</v>
      </c>
      <c r="F16" s="80">
        <f>+(B16-D16)*100</f>
        <v>1.2497603457857407</v>
      </c>
    </row>
    <row r="17" spans="1:8" ht="18" thickBot="1" x14ac:dyDescent="0.4">
      <c r="A17" s="89" t="s">
        <v>39</v>
      </c>
      <c r="B17" s="96">
        <v>0.19555388766699983</v>
      </c>
      <c r="C17" s="96">
        <v>0.18824149700213413</v>
      </c>
      <c r="D17" s="96">
        <v>0.17321043286923543</v>
      </c>
      <c r="E17" s="97">
        <f>+(B17-C17)*100</f>
        <v>0.73123906648656922</v>
      </c>
      <c r="F17" s="97">
        <f>+(B17-D17)*100</f>
        <v>2.2343454797764393</v>
      </c>
      <c r="G17" s="29"/>
    </row>
    <row r="18" spans="1:8" ht="18" customHeight="1" thickBot="1" x14ac:dyDescent="0.4">
      <c r="A18" s="47" t="s">
        <v>40</v>
      </c>
      <c r="B18" s="47"/>
      <c r="C18" s="47"/>
      <c r="D18" s="32"/>
      <c r="E18" s="79"/>
      <c r="F18" s="79"/>
      <c r="G18" s="31"/>
    </row>
    <row r="19" spans="1:8" ht="28.15" customHeight="1" x14ac:dyDescent="0.35">
      <c r="A19" s="138"/>
      <c r="B19" s="138"/>
      <c r="C19" s="138"/>
      <c r="D19" s="138"/>
      <c r="E19" s="76"/>
      <c r="F19" s="76"/>
      <c r="G19" s="60"/>
      <c r="H19" s="60"/>
    </row>
    <row r="20" spans="1:8" ht="8.1" customHeight="1" x14ac:dyDescent="0.35">
      <c r="G20" s="33"/>
    </row>
    <row r="21" spans="1:8" x14ac:dyDescent="0.35">
      <c r="A21" s="89" t="s">
        <v>41</v>
      </c>
      <c r="B21" s="89"/>
      <c r="G21" s="31"/>
    </row>
    <row r="22" spans="1:8" ht="18" thickBot="1" x14ac:dyDescent="0.4">
      <c r="A22" s="19" t="s">
        <v>27</v>
      </c>
      <c r="B22" s="21">
        <f>+B3</f>
        <v>45382</v>
      </c>
      <c r="C22" s="21">
        <f t="shared" ref="C22:D22" si="2">+C3</f>
        <v>45291</v>
      </c>
      <c r="D22" s="21">
        <f t="shared" si="2"/>
        <v>45016</v>
      </c>
      <c r="E22" s="22" t="s">
        <v>207</v>
      </c>
      <c r="F22" s="22" t="s">
        <v>208</v>
      </c>
      <c r="G22" s="29"/>
    </row>
    <row r="23" spans="1:8" x14ac:dyDescent="0.35">
      <c r="A23" s="109" t="s">
        <v>28</v>
      </c>
      <c r="B23" s="110">
        <v>5635.283722641143</v>
      </c>
      <c r="C23" s="110">
        <v>5530.6688612857852</v>
      </c>
      <c r="D23" s="110">
        <v>5594.3474470728443</v>
      </c>
      <c r="E23" s="110">
        <f>+B23-C23</f>
        <v>104.61486135535779</v>
      </c>
      <c r="F23" s="110">
        <f>+B23-D23</f>
        <v>40.936275568298697</v>
      </c>
      <c r="G23" s="12"/>
    </row>
    <row r="24" spans="1:8" x14ac:dyDescent="0.35">
      <c r="A24" s="17" t="s">
        <v>29</v>
      </c>
      <c r="B24" s="12">
        <v>4187.9232296411428</v>
      </c>
      <c r="C24" s="12">
        <v>4383.308368285785</v>
      </c>
      <c r="D24" s="12">
        <v>4430.9624720728443</v>
      </c>
      <c r="E24" s="12">
        <f t="shared" ref="E24:E32" si="3">+B24-C24</f>
        <v>-195.38513864464221</v>
      </c>
      <c r="F24" s="12">
        <f t="shared" ref="F24:F32" si="4">+B24-D24</f>
        <v>-243.0392424317015</v>
      </c>
      <c r="G24" s="12"/>
    </row>
    <row r="25" spans="1:8" x14ac:dyDescent="0.35">
      <c r="A25" s="4" t="s">
        <v>30</v>
      </c>
      <c r="B25" s="12">
        <v>1873.1310763699998</v>
      </c>
      <c r="C25" s="12">
        <v>1873.1310763699998</v>
      </c>
      <c r="D25" s="12">
        <v>1873</v>
      </c>
      <c r="E25" s="12">
        <f t="shared" si="3"/>
        <v>0</v>
      </c>
      <c r="F25" s="12">
        <f t="shared" si="4"/>
        <v>0.13107636999984607</v>
      </c>
    </row>
    <row r="26" spans="1:8" x14ac:dyDescent="0.35">
      <c r="A26" s="4" t="s">
        <v>31</v>
      </c>
      <c r="B26" s="12">
        <v>3964.1249005886939</v>
      </c>
      <c r="C26" s="12">
        <v>3837.7609036615941</v>
      </c>
      <c r="D26" s="12">
        <v>3874</v>
      </c>
      <c r="E26" s="12">
        <f t="shared" si="3"/>
        <v>126.36399692709983</v>
      </c>
      <c r="F26" s="12">
        <f t="shared" si="4"/>
        <v>90.12490058869389</v>
      </c>
      <c r="G26" s="12"/>
    </row>
    <row r="27" spans="1:8" x14ac:dyDescent="0.35">
      <c r="A27" s="4" t="s">
        <v>32</v>
      </c>
      <c r="B27" s="12">
        <v>52.885648341809549</v>
      </c>
      <c r="C27" s="12">
        <v>126.52518560933635</v>
      </c>
      <c r="D27" s="12">
        <v>14.5</v>
      </c>
      <c r="E27" s="12">
        <f t="shared" si="3"/>
        <v>-73.639537267526805</v>
      </c>
      <c r="F27" s="12">
        <f t="shared" si="4"/>
        <v>38.385648341809549</v>
      </c>
      <c r="G27" s="12"/>
    </row>
    <row r="28" spans="1:8" x14ac:dyDescent="0.35">
      <c r="A28" s="4" t="s">
        <v>33</v>
      </c>
      <c r="B28" s="12">
        <v>-1424.8866892088524</v>
      </c>
      <c r="C28" s="12">
        <v>-1399.7448763388575</v>
      </c>
      <c r="D28" s="12">
        <v>-1458</v>
      </c>
      <c r="E28" s="12">
        <f t="shared" si="3"/>
        <v>-25.141812869994965</v>
      </c>
      <c r="F28" s="12">
        <f t="shared" si="4"/>
        <v>33.113310791147569</v>
      </c>
      <c r="G28" s="12"/>
    </row>
    <row r="29" spans="1:8" x14ac:dyDescent="0.35">
      <c r="A29" s="4" t="s">
        <v>42</v>
      </c>
      <c r="B29" s="12">
        <v>-277.33170645050723</v>
      </c>
      <c r="C29" s="12">
        <v>-54.363921016288714</v>
      </c>
      <c r="D29" s="12">
        <v>127.46247207284406</v>
      </c>
      <c r="E29" s="12">
        <f t="shared" si="3"/>
        <v>-222.96778543421851</v>
      </c>
      <c r="F29" s="12">
        <f t="shared" si="4"/>
        <v>-404.79417852335132</v>
      </c>
    </row>
    <row r="30" spans="1:8" x14ac:dyDescent="0.35">
      <c r="A30" s="17" t="s">
        <v>35</v>
      </c>
      <c r="B30" s="12">
        <v>547.36049300000002</v>
      </c>
      <c r="C30" s="12">
        <v>547.36049300000002</v>
      </c>
      <c r="D30" s="12">
        <v>547.38497499999994</v>
      </c>
      <c r="E30" s="12">
        <f t="shared" si="3"/>
        <v>0</v>
      </c>
      <c r="F30" s="12">
        <f t="shared" si="4"/>
        <v>-2.4481999999920845E-2</v>
      </c>
      <c r="G30" s="12"/>
    </row>
    <row r="31" spans="1:8" x14ac:dyDescent="0.35">
      <c r="A31" s="17" t="s">
        <v>36</v>
      </c>
      <c r="B31" s="12">
        <v>900</v>
      </c>
      <c r="C31" s="12">
        <v>600</v>
      </c>
      <c r="D31" s="12">
        <v>616</v>
      </c>
      <c r="E31" s="12">
        <f t="shared" si="3"/>
        <v>300</v>
      </c>
      <c r="F31" s="12">
        <f t="shared" si="4"/>
        <v>284</v>
      </c>
      <c r="G31" s="12"/>
    </row>
    <row r="32" spans="1:8" x14ac:dyDescent="0.35">
      <c r="A32" s="109" t="s">
        <v>37</v>
      </c>
      <c r="B32" s="110">
        <v>28877.021712292142</v>
      </c>
      <c r="C32" s="110">
        <v>29799.811469292508</v>
      </c>
      <c r="D32" s="110">
        <v>32886</v>
      </c>
      <c r="E32" s="110">
        <f t="shared" si="3"/>
        <v>-922.78975700036608</v>
      </c>
      <c r="F32" s="110">
        <f t="shared" si="4"/>
        <v>-4008.9782877078578</v>
      </c>
    </row>
    <row r="33" spans="1:7" x14ac:dyDescent="0.35">
      <c r="A33" s="89" t="s">
        <v>38</v>
      </c>
      <c r="B33" s="96">
        <v>0.1450261481729766</v>
      </c>
      <c r="C33" s="96">
        <v>0.14709181542314809</v>
      </c>
      <c r="D33" s="96">
        <v>0.13473704531024888</v>
      </c>
      <c r="E33" s="97">
        <f>+(B33-C33)*100</f>
        <v>-0.20656672501714879</v>
      </c>
      <c r="F33" s="97">
        <f>+(B33-D33)*100</f>
        <v>1.0289102862727717</v>
      </c>
      <c r="G33" s="31"/>
    </row>
    <row r="34" spans="1:7" x14ac:dyDescent="0.35">
      <c r="A34" t="s">
        <v>35</v>
      </c>
      <c r="B34" s="42">
        <v>1.8954880404685362E-2</v>
      </c>
      <c r="C34" s="42">
        <v>1.8367917983777605E-2</v>
      </c>
      <c r="D34" s="42">
        <v>1.6644924131849419E-2</v>
      </c>
      <c r="E34" s="80">
        <f>+(B34-C34)*100</f>
        <v>5.8696242090775647E-2</v>
      </c>
      <c r="F34" s="80">
        <f>+(B34-D34)*100</f>
        <v>0.23099562728359432</v>
      </c>
    </row>
    <row r="35" spans="1:7" x14ac:dyDescent="0.35">
      <c r="A35" t="s">
        <v>36</v>
      </c>
      <c r="B35" s="42">
        <v>3.1166649004419147E-2</v>
      </c>
      <c r="C35" s="42">
        <v>2.013435556860068E-2</v>
      </c>
      <c r="D35" s="42">
        <v>1.8731375053214133E-2</v>
      </c>
      <c r="E35" s="80">
        <f>+(B35-C35)*100</f>
        <v>1.1032293435818468</v>
      </c>
      <c r="F35" s="80">
        <f>+(B35-D35)*100</f>
        <v>1.2435273951205015</v>
      </c>
    </row>
    <row r="36" spans="1:7" x14ac:dyDescent="0.35">
      <c r="A36" s="89" t="s">
        <v>39</v>
      </c>
      <c r="B36" s="107">
        <v>0.1951476775820811</v>
      </c>
      <c r="C36" s="107">
        <v>0.18559408897552637</v>
      </c>
      <c r="D36" s="107">
        <v>0.17011334449531243</v>
      </c>
      <c r="E36" s="97">
        <f>+(B36-C36)*100</f>
        <v>0.95535886065547249</v>
      </c>
      <c r="F36" s="97">
        <f>+(B36-D36)*100</f>
        <v>2.5034333086768665</v>
      </c>
      <c r="G36" s="29"/>
    </row>
    <row r="38" spans="1:7" x14ac:dyDescent="0.35">
      <c r="A38" s="137"/>
      <c r="B38" s="137"/>
      <c r="C38" s="137"/>
      <c r="D38" s="137"/>
      <c r="E38" s="75"/>
      <c r="F38" s="75"/>
    </row>
    <row r="39" spans="1:7" ht="18" thickBot="1" x14ac:dyDescent="0.4">
      <c r="B39" s="21">
        <f>+B22</f>
        <v>45382</v>
      </c>
      <c r="C39" s="21">
        <f>+C22</f>
        <v>45291</v>
      </c>
      <c r="D39" s="21">
        <f>+D22</f>
        <v>45016</v>
      </c>
      <c r="E39" s="51"/>
      <c r="F39" s="51"/>
    </row>
    <row r="40" spans="1:7" x14ac:dyDescent="0.35">
      <c r="B40" s="30" t="s">
        <v>43</v>
      </c>
      <c r="C40" s="30" t="s">
        <v>43</v>
      </c>
      <c r="D40" s="30" t="s">
        <v>43</v>
      </c>
      <c r="E40" s="30"/>
      <c r="F40" s="30"/>
    </row>
    <row r="41" spans="1:7" x14ac:dyDescent="0.35">
      <c r="A41" t="s">
        <v>44</v>
      </c>
      <c r="B41" s="55">
        <f>+B14</f>
        <v>0.14544854451490788</v>
      </c>
      <c r="C41" s="55">
        <f>+C14</f>
        <v>0.14979201663837621</v>
      </c>
      <c r="D41" s="55">
        <f>+D14</f>
        <v>0.13794389843355581</v>
      </c>
      <c r="E41" s="55"/>
      <c r="F41" s="55"/>
    </row>
    <row r="42" spans="1:7" x14ac:dyDescent="0.35">
      <c r="A42" t="s">
        <v>45</v>
      </c>
      <c r="B42" s="55">
        <f>+B17</f>
        <v>0.19555388766699983</v>
      </c>
      <c r="C42" s="55">
        <f>+C17</f>
        <v>0.18824149700213413</v>
      </c>
      <c r="D42" s="55">
        <f>+D17</f>
        <v>0.17321043286923543</v>
      </c>
      <c r="E42" s="55"/>
      <c r="F42" s="55"/>
    </row>
    <row r="43" spans="1:7" ht="18" thickBot="1" x14ac:dyDescent="0.4">
      <c r="A43" t="s">
        <v>46</v>
      </c>
      <c r="B43" s="81">
        <v>0.1275</v>
      </c>
      <c r="C43" s="81">
        <v>0.1275</v>
      </c>
      <c r="D43" s="81">
        <v>0.1275</v>
      </c>
      <c r="E43" s="81"/>
      <c r="F43" s="81"/>
    </row>
    <row r="44" spans="1:7" x14ac:dyDescent="0.35">
      <c r="A44" s="108" t="s">
        <v>47</v>
      </c>
      <c r="B44" s="97">
        <f>(+B42-B43)*100</f>
        <v>6.8053887666999824</v>
      </c>
      <c r="C44" s="97">
        <f>(+C42-C43)*100</f>
        <v>6.0741497002134128</v>
      </c>
      <c r="D44" s="97">
        <f>(+D42-D43)*100</f>
        <v>4.5710432869235431</v>
      </c>
      <c r="E44" s="81"/>
      <c r="F44" s="81"/>
    </row>
  </sheetData>
  <mergeCells count="2">
    <mergeCell ref="A38:D38"/>
    <mergeCell ref="A19:D19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7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7.25" x14ac:dyDescent="0.35"/>
  <cols>
    <col min="1" max="1" width="56.33203125" customWidth="1"/>
    <col min="2" max="4" width="11.5546875" customWidth="1"/>
    <col min="5" max="6" width="10.88671875" customWidth="1"/>
  </cols>
  <sheetData>
    <row r="1" spans="1:7" ht="18" x14ac:dyDescent="0.35">
      <c r="A1" s="18" t="s">
        <v>14</v>
      </c>
      <c r="B1" s="18"/>
      <c r="C1" s="18"/>
    </row>
    <row r="2" spans="1:7" x14ac:dyDescent="0.35">
      <c r="A2" s="19" t="s">
        <v>15</v>
      </c>
      <c r="B2" s="65">
        <v>45382</v>
      </c>
      <c r="C2" s="65">
        <v>45291</v>
      </c>
      <c r="D2" s="65">
        <v>45016</v>
      </c>
      <c r="E2" s="64" t="s">
        <v>207</v>
      </c>
      <c r="F2" s="64" t="s">
        <v>208</v>
      </c>
    </row>
    <row r="3" spans="1:7" x14ac:dyDescent="0.35">
      <c r="A3" s="89" t="s">
        <v>16</v>
      </c>
      <c r="B3" s="89"/>
      <c r="C3" s="89"/>
      <c r="D3" s="90"/>
      <c r="E3" s="90"/>
      <c r="F3" s="90"/>
    </row>
    <row r="4" spans="1:7" x14ac:dyDescent="0.35">
      <c r="A4" t="s">
        <v>226</v>
      </c>
      <c r="B4" s="12">
        <v>97092.788784295495</v>
      </c>
      <c r="C4" s="12">
        <v>97152.647414852792</v>
      </c>
      <c r="D4" s="12">
        <v>105133.931</v>
      </c>
      <c r="E4" s="23">
        <f t="shared" ref="E4:E10" si="0">(B4-C4)/C4</f>
        <v>-6.1612969023575883E-4</v>
      </c>
      <c r="F4" s="23">
        <f t="shared" ref="F4:F10" si="1">(B4-D4)/D4</f>
        <v>-7.6484747970705119E-2</v>
      </c>
    </row>
    <row r="5" spans="1:7" ht="18.75" x14ac:dyDescent="0.35">
      <c r="A5" t="s">
        <v>227</v>
      </c>
      <c r="B5" s="12">
        <v>48987.687151639999</v>
      </c>
      <c r="C5" s="12">
        <v>49892.511863390006</v>
      </c>
      <c r="D5" s="12">
        <v>53513.242139477989</v>
      </c>
      <c r="E5" s="23">
        <f t="shared" si="0"/>
        <v>-1.8135481216650203E-2</v>
      </c>
      <c r="F5" s="23">
        <f t="shared" si="1"/>
        <v>-8.4568880652801645E-2</v>
      </c>
    </row>
    <row r="6" spans="1:7" ht="18.75" x14ac:dyDescent="0.35">
      <c r="A6" s="16" t="s">
        <v>228</v>
      </c>
      <c r="B6" s="12">
        <v>47527.906481519996</v>
      </c>
      <c r="C6" s="12">
        <v>48324.562855120006</v>
      </c>
      <c r="D6" s="12">
        <v>51605.72569754799</v>
      </c>
      <c r="E6" s="23">
        <f t="shared" si="0"/>
        <v>-1.6485537096081641E-2</v>
      </c>
      <c r="F6" s="23">
        <f t="shared" si="1"/>
        <v>-7.9018736020250349E-2</v>
      </c>
      <c r="G6" s="48"/>
    </row>
    <row r="7" spans="1:7" ht="18.75" x14ac:dyDescent="0.35">
      <c r="A7" s="20" t="s">
        <v>229</v>
      </c>
      <c r="B7" s="12">
        <v>88114.160599179988</v>
      </c>
      <c r="C7" s="12">
        <v>88824.730661879992</v>
      </c>
      <c r="D7" s="12">
        <v>88736.720894690006</v>
      </c>
      <c r="E7" s="23">
        <f t="shared" si="0"/>
        <v>-7.9996872200475168E-3</v>
      </c>
      <c r="F7" s="23">
        <f t="shared" si="1"/>
        <v>-7.0158136252167101E-3</v>
      </c>
    </row>
    <row r="8" spans="1:7" x14ac:dyDescent="0.35">
      <c r="A8" s="20" t="s">
        <v>17</v>
      </c>
      <c r="B8" s="12">
        <v>21423.602687399998</v>
      </c>
      <c r="C8" s="12">
        <v>21087.046685360001</v>
      </c>
      <c r="D8" s="12">
        <v>20851.165795590001</v>
      </c>
      <c r="E8" s="23">
        <f t="shared" si="0"/>
        <v>1.5960319482464853E-2</v>
      </c>
      <c r="F8" s="23">
        <f t="shared" si="1"/>
        <v>2.745347178290947E-2</v>
      </c>
    </row>
    <row r="9" spans="1:7" x14ac:dyDescent="0.35">
      <c r="A9" t="s">
        <v>230</v>
      </c>
      <c r="B9" s="12">
        <v>6620.2066176434801</v>
      </c>
      <c r="C9" s="12">
        <v>6522.8169423926802</v>
      </c>
      <c r="D9" s="12">
        <v>6329.6809999999996</v>
      </c>
      <c r="E9" s="23">
        <f t="shared" si="0"/>
        <v>1.4930616037658677E-2</v>
      </c>
      <c r="F9" s="23">
        <f t="shared" si="1"/>
        <v>4.58989351348797E-2</v>
      </c>
    </row>
    <row r="10" spans="1:7" x14ac:dyDescent="0.35">
      <c r="A10" t="s">
        <v>231</v>
      </c>
      <c r="B10" s="12">
        <v>6556.9283957747102</v>
      </c>
      <c r="C10" s="12">
        <v>6646.0562383569004</v>
      </c>
      <c r="D10" s="12">
        <v>6325.0739999999996</v>
      </c>
      <c r="E10" s="23">
        <f t="shared" si="0"/>
        <v>-1.3410636230822082E-2</v>
      </c>
      <c r="F10" s="23">
        <f t="shared" si="1"/>
        <v>3.6656392601052669E-2</v>
      </c>
    </row>
    <row r="11" spans="1:7" x14ac:dyDescent="0.35">
      <c r="A11" s="35" t="s">
        <v>225</v>
      </c>
      <c r="B11" s="35"/>
      <c r="C11" s="35"/>
      <c r="D11" s="12"/>
      <c r="E11" s="23"/>
      <c r="F11" s="23"/>
    </row>
    <row r="12" spans="1:7" x14ac:dyDescent="0.35">
      <c r="A12" s="89" t="s">
        <v>18</v>
      </c>
      <c r="B12" s="89"/>
      <c r="C12" s="89"/>
      <c r="D12" s="91"/>
      <c r="E12" s="92"/>
      <c r="F12" s="92"/>
    </row>
    <row r="13" spans="1:7" x14ac:dyDescent="0.35">
      <c r="A13" t="s">
        <v>251</v>
      </c>
      <c r="B13" s="12">
        <v>390.32136581857202</v>
      </c>
      <c r="C13" s="12">
        <v>1353.229405796</v>
      </c>
      <c r="D13" s="12">
        <v>295.08479162999998</v>
      </c>
      <c r="E13" s="23"/>
      <c r="F13" s="23">
        <f>(B13-D13)/D13</f>
        <v>0.32274307890454407</v>
      </c>
    </row>
    <row r="14" spans="1:7" x14ac:dyDescent="0.35">
      <c r="A14" t="s">
        <v>265</v>
      </c>
      <c r="B14" s="12">
        <v>461.9439816343147</v>
      </c>
      <c r="C14" s="12">
        <v>1775.5474782438382</v>
      </c>
      <c r="D14" s="12">
        <v>372.91199999999998</v>
      </c>
      <c r="E14" s="23"/>
      <c r="F14" s="23">
        <f>(B14-D14)/D14</f>
        <v>0.2387479663682443</v>
      </c>
    </row>
    <row r="15" spans="1:7" x14ac:dyDescent="0.35">
      <c r="A15" t="s">
        <v>266</v>
      </c>
      <c r="B15" s="12">
        <v>237.36215411532828</v>
      </c>
      <c r="C15" s="12">
        <v>916.99396426798103</v>
      </c>
      <c r="D15" s="12">
        <v>160.47999999999996</v>
      </c>
      <c r="E15" s="23"/>
      <c r="F15" s="23">
        <f>(B15-D15)/D15</f>
        <v>0.47907623451725034</v>
      </c>
    </row>
    <row r="16" spans="1:7" x14ac:dyDescent="0.35">
      <c r="A16" t="s">
        <v>267</v>
      </c>
      <c r="B16" s="12">
        <v>110.80055508639001</v>
      </c>
      <c r="C16" s="12">
        <v>266.53161002059397</v>
      </c>
      <c r="D16" s="12">
        <v>34.191000000000003</v>
      </c>
      <c r="E16" s="23"/>
      <c r="F16" s="23">
        <f>(B16-D16)/D16</f>
        <v>2.2406351111810126</v>
      </c>
    </row>
    <row r="17" spans="1:6" x14ac:dyDescent="0.35">
      <c r="A17" s="20" t="s">
        <v>276</v>
      </c>
      <c r="B17" s="70">
        <v>0.48616680040821586</v>
      </c>
      <c r="C17" s="70">
        <v>0.48354297730468859</v>
      </c>
      <c r="D17" s="70">
        <v>0.56965718453683445</v>
      </c>
      <c r="E17" s="34">
        <f>(B17-C17)*100</f>
        <v>0.26238231035272674</v>
      </c>
      <c r="F17" s="34">
        <f>(B17-D17)*100</f>
        <v>-8.3490384128618587</v>
      </c>
    </row>
    <row r="18" spans="1:6" x14ac:dyDescent="0.35">
      <c r="A18" s="20" t="s">
        <v>277</v>
      </c>
      <c r="B18" s="70">
        <v>5.3767273830027634E-2</v>
      </c>
      <c r="C18" s="70">
        <v>4.1478790762602601E-2</v>
      </c>
      <c r="D18" s="70">
        <v>4.0017463199184845E-2</v>
      </c>
      <c r="E18" s="34">
        <f>(B18-C18)*100</f>
        <v>1.2288483067425033</v>
      </c>
      <c r="F18" s="34">
        <f>(B18-D18)*100</f>
        <v>1.3749810630842789</v>
      </c>
    </row>
    <row r="19" spans="1:6" ht="7.15" customHeight="1" x14ac:dyDescent="0.35">
      <c r="A19" s="14"/>
      <c r="B19" s="14"/>
      <c r="C19" s="14"/>
      <c r="D19" s="12"/>
      <c r="E19" s="23"/>
      <c r="F19" s="23"/>
    </row>
    <row r="20" spans="1:6" x14ac:dyDescent="0.35">
      <c r="A20" s="89" t="s">
        <v>19</v>
      </c>
      <c r="B20" s="89"/>
      <c r="C20" s="89"/>
      <c r="D20" s="91"/>
      <c r="E20" s="92"/>
      <c r="F20" s="92"/>
    </row>
    <row r="21" spans="1:6" x14ac:dyDescent="0.35">
      <c r="A21" t="s">
        <v>232</v>
      </c>
      <c r="B21" s="12">
        <v>1459.78067012</v>
      </c>
      <c r="C21" s="12">
        <v>1567.9490082700001</v>
      </c>
      <c r="D21" s="12">
        <v>1907.5164419299999</v>
      </c>
      <c r="E21" s="23">
        <f>(B21-C21)/C21</f>
        <v>-6.8987153012933719E-2</v>
      </c>
      <c r="F21" s="23">
        <f>(B21-D21)/D21</f>
        <v>-0.23472184143114741</v>
      </c>
    </row>
    <row r="22" spans="1:6" ht="18.75" x14ac:dyDescent="0.35">
      <c r="A22" t="s">
        <v>233</v>
      </c>
      <c r="B22" s="12">
        <v>1202.13526626</v>
      </c>
      <c r="C22" s="12">
        <v>1253.4947420300018</v>
      </c>
      <c r="D22" s="12">
        <v>1790.4084386699935</v>
      </c>
      <c r="E22" s="23">
        <f>(B22-C22)/C22</f>
        <v>-4.0973028484209285E-2</v>
      </c>
      <c r="F22" s="23">
        <f>(B22-D22)/D22</f>
        <v>-0.3285692581112904</v>
      </c>
    </row>
    <row r="23" spans="1:6" x14ac:dyDescent="0.35">
      <c r="A23" t="s">
        <v>234</v>
      </c>
      <c r="B23" s="12">
        <v>2661.9159363799999</v>
      </c>
      <c r="C23" s="12">
        <v>2821.4437503000017</v>
      </c>
      <c r="D23" s="12">
        <v>3697.9248805999932</v>
      </c>
      <c r="E23" s="23">
        <f>(B23-C23)/C23</f>
        <v>-5.6541199484497727E-2</v>
      </c>
      <c r="F23" s="23">
        <f>(B23-D23)/D23</f>
        <v>-0.28015954289798861</v>
      </c>
    </row>
    <row r="24" spans="1:6" x14ac:dyDescent="0.35">
      <c r="A24" t="s">
        <v>235</v>
      </c>
      <c r="B24" s="58">
        <v>2.9798930200588776E-2</v>
      </c>
      <c r="C24" s="58">
        <v>3.142653976939825E-2</v>
      </c>
      <c r="D24" s="58">
        <v>3.5645690032351449E-2</v>
      </c>
      <c r="E24" s="34">
        <f t="shared" ref="E24:E29" si="2">(B24-C24)*100</f>
        <v>-0.16276095688094738</v>
      </c>
      <c r="F24" s="34">
        <f t="shared" ref="F24:F29" si="3">(B24-D24)*100</f>
        <v>-0.58467598317626723</v>
      </c>
    </row>
    <row r="25" spans="1:6" ht="18.75" x14ac:dyDescent="0.35">
      <c r="A25" t="s">
        <v>236</v>
      </c>
      <c r="B25" s="57">
        <v>0.66143126800043761</v>
      </c>
      <c r="C25" s="57">
        <v>0.63652523743816669</v>
      </c>
      <c r="D25" s="57">
        <v>0.6642203619529885</v>
      </c>
      <c r="E25" s="34">
        <f t="shared" si="2"/>
        <v>2.490603056227092</v>
      </c>
      <c r="F25" s="34">
        <f t="shared" si="3"/>
        <v>-0.27890939525508918</v>
      </c>
    </row>
    <row r="26" spans="1:6" x14ac:dyDescent="0.35">
      <c r="A26" t="s">
        <v>237</v>
      </c>
      <c r="B26" s="58">
        <v>0.73911687179288788</v>
      </c>
      <c r="C26" s="58">
        <v>0.7388279537736071</v>
      </c>
      <c r="D26" s="58">
        <v>0.64189302542258131</v>
      </c>
      <c r="E26" s="34">
        <f t="shared" si="2"/>
        <v>2.8891801928077054E-2</v>
      </c>
      <c r="F26" s="34">
        <f t="shared" si="3"/>
        <v>9.7223846370306575</v>
      </c>
    </row>
    <row r="27" spans="1:6" x14ac:dyDescent="0.35">
      <c r="A27" t="s">
        <v>238</v>
      </c>
      <c r="B27" s="58">
        <v>0.69651449610816185</v>
      </c>
      <c r="C27" s="58">
        <v>0.68197569768860633</v>
      </c>
      <c r="D27" s="58">
        <v>0.65341023112886554</v>
      </c>
      <c r="E27" s="34">
        <f t="shared" si="2"/>
        <v>1.4538798419555521</v>
      </c>
      <c r="F27" s="34">
        <f t="shared" si="3"/>
        <v>4.3104264979296314</v>
      </c>
    </row>
    <row r="28" spans="1:6" x14ac:dyDescent="0.35">
      <c r="A28" t="s">
        <v>239</v>
      </c>
      <c r="B28" s="66">
        <v>2.4904319165416182E-3</v>
      </c>
      <c r="C28" s="66">
        <v>2.7145504778519599E-3</v>
      </c>
      <c r="D28" s="66">
        <v>2.6280597918818581E-3</v>
      </c>
      <c r="E28" s="34">
        <f t="shared" si="2"/>
        <v>-2.2411856131034167E-2</v>
      </c>
      <c r="F28" s="34">
        <f t="shared" si="3"/>
        <v>-1.3762787534023994E-2</v>
      </c>
    </row>
    <row r="29" spans="1:6" x14ac:dyDescent="0.35">
      <c r="A29" t="s">
        <v>250</v>
      </c>
      <c r="B29" s="66">
        <v>2.4904319165416182E-3</v>
      </c>
      <c r="C29" s="66">
        <v>2.7145504778519599E-3</v>
      </c>
      <c r="D29" s="66">
        <v>2.6280597918818581E-3</v>
      </c>
      <c r="E29" s="34">
        <f t="shared" si="2"/>
        <v>-2.2411856131034167E-2</v>
      </c>
      <c r="F29" s="34">
        <f t="shared" si="3"/>
        <v>-1.3762787534023994E-2</v>
      </c>
    </row>
    <row r="30" spans="1:6" ht="7.15" customHeight="1" x14ac:dyDescent="0.35">
      <c r="A30" s="14"/>
      <c r="B30" s="14"/>
      <c r="C30" s="14"/>
      <c r="D30" s="12"/>
      <c r="E30" s="23"/>
      <c r="F30" s="23"/>
    </row>
    <row r="31" spans="1:6" x14ac:dyDescent="0.35">
      <c r="A31" s="89" t="s">
        <v>20</v>
      </c>
      <c r="B31" s="89"/>
      <c r="C31" s="89"/>
      <c r="D31" s="91"/>
      <c r="E31" s="92"/>
      <c r="F31" s="92"/>
    </row>
    <row r="32" spans="1:6" x14ac:dyDescent="0.35">
      <c r="A32" t="s">
        <v>240</v>
      </c>
      <c r="B32" s="61">
        <v>0.73454318626719306</v>
      </c>
      <c r="C32" s="61">
        <v>0.73655629786884635</v>
      </c>
      <c r="D32" s="61">
        <v>0.78828775936798334</v>
      </c>
      <c r="E32" s="34">
        <f>(B32-C32)*100</f>
        <v>-0.20131116016532946</v>
      </c>
      <c r="F32" s="34">
        <f>(B32-D32)*100</f>
        <v>-5.3744573100790287</v>
      </c>
    </row>
    <row r="33" spans="1:6" x14ac:dyDescent="0.35">
      <c r="A33" t="s">
        <v>241</v>
      </c>
      <c r="B33" s="67">
        <v>2.94</v>
      </c>
      <c r="C33" s="67">
        <v>3.08</v>
      </c>
      <c r="D33" s="67">
        <v>2.98</v>
      </c>
      <c r="E33" s="34">
        <f>(B33-C33)*100</f>
        <v>-14.000000000000012</v>
      </c>
      <c r="F33" s="34">
        <f>(B33-D33)*100</f>
        <v>-4.0000000000000036</v>
      </c>
    </row>
    <row r="34" spans="1:6" x14ac:dyDescent="0.35">
      <c r="A34" t="s">
        <v>242</v>
      </c>
      <c r="B34" s="67">
        <v>1.5669999999999999</v>
      </c>
      <c r="C34" s="67">
        <v>1.4850000000000001</v>
      </c>
      <c r="D34" s="67">
        <v>1.44</v>
      </c>
      <c r="E34" s="34">
        <f>(B34-C34)*100</f>
        <v>8.1999999999999851</v>
      </c>
      <c r="F34" s="34">
        <f>(B34-D34)*100</f>
        <v>12.7</v>
      </c>
    </row>
    <row r="35" spans="1:6" ht="7.15" customHeight="1" x14ac:dyDescent="0.35">
      <c r="A35" s="14"/>
      <c r="B35" s="14"/>
      <c r="C35" s="14"/>
      <c r="D35" s="12"/>
      <c r="E35" s="23"/>
      <c r="F35" s="23"/>
    </row>
    <row r="36" spans="1:6" x14ac:dyDescent="0.35">
      <c r="A36" s="89" t="s">
        <v>21</v>
      </c>
      <c r="B36" s="89"/>
      <c r="C36" s="89"/>
      <c r="D36" s="92"/>
      <c r="E36" s="92"/>
      <c r="F36" s="92"/>
    </row>
    <row r="37" spans="1:6" x14ac:dyDescent="0.35">
      <c r="A37" t="s">
        <v>243</v>
      </c>
      <c r="B37" s="58">
        <v>0.14544854451490788</v>
      </c>
      <c r="C37" s="58">
        <v>0.14979201663837627</v>
      </c>
      <c r="D37" s="58">
        <v>0.13794389843355581</v>
      </c>
      <c r="E37" s="34">
        <f>(B37-C37)*100</f>
        <v>-0.43434721234683893</v>
      </c>
      <c r="F37" s="34">
        <f>(B37-D37)*100</f>
        <v>0.75046460813520677</v>
      </c>
    </row>
    <row r="38" spans="1:6" x14ac:dyDescent="0.35">
      <c r="A38" t="s">
        <v>244</v>
      </c>
      <c r="B38" s="61">
        <v>0.1450261481729766</v>
      </c>
      <c r="C38" s="61">
        <v>0.14709181542314809</v>
      </c>
      <c r="D38" s="61">
        <v>0.13473704531024888</v>
      </c>
      <c r="E38" s="34">
        <f>(B38-C38)*100</f>
        <v>-0.20656672501714879</v>
      </c>
      <c r="F38" s="34">
        <f>(B38-D38)*100</f>
        <v>1.0289102862727717</v>
      </c>
    </row>
    <row r="39" spans="1:6" x14ac:dyDescent="0.35">
      <c r="A39" t="s">
        <v>245</v>
      </c>
      <c r="B39" s="61">
        <v>0.19555388766699983</v>
      </c>
      <c r="C39" s="61">
        <v>0.18824149700213416</v>
      </c>
      <c r="D39" s="61">
        <v>0.17321043286923543</v>
      </c>
      <c r="E39" s="34">
        <f>(B39-C39)*100</f>
        <v>0.73123906648656645</v>
      </c>
      <c r="F39" s="34">
        <f>(B39-D39)*100</f>
        <v>2.2343454797764393</v>
      </c>
    </row>
    <row r="40" spans="1:6" x14ac:dyDescent="0.35">
      <c r="A40" t="s">
        <v>246</v>
      </c>
      <c r="B40" s="61">
        <v>0.19514767758208112</v>
      </c>
      <c r="C40" s="61">
        <v>0.18559408897552637</v>
      </c>
      <c r="D40" s="61">
        <v>0.17011334449531243</v>
      </c>
      <c r="E40" s="34">
        <f>(B40-C40)*100</f>
        <v>0.95535886065547526</v>
      </c>
      <c r="F40" s="34">
        <f>(B40-D40)*100</f>
        <v>2.5034333086768696</v>
      </c>
    </row>
    <row r="41" spans="1:6" x14ac:dyDescent="0.35">
      <c r="A41" t="s">
        <v>247</v>
      </c>
      <c r="B41" s="12">
        <v>28886.350276189478</v>
      </c>
      <c r="C41" s="12">
        <v>29840.72820088072</v>
      </c>
      <c r="D41" s="12">
        <v>32960</v>
      </c>
      <c r="E41" s="23">
        <f>(B41-C41)/C41</f>
        <v>-3.1982393937124973E-2</v>
      </c>
      <c r="F41" s="23">
        <f>(B41-D41)/D41</f>
        <v>-0.12359374162046487</v>
      </c>
    </row>
    <row r="42" spans="1:6" x14ac:dyDescent="0.35">
      <c r="A42" t="s">
        <v>248</v>
      </c>
      <c r="B42" s="61">
        <v>0.31648063817692473</v>
      </c>
      <c r="C42" s="61">
        <v>0.32921515229160203</v>
      </c>
      <c r="D42" s="61">
        <v>0.42303886972866622</v>
      </c>
      <c r="E42" s="34">
        <f>(B42-C42)*100</f>
        <v>-1.2734514114677298</v>
      </c>
      <c r="F42" s="34">
        <f>(B42-D42)*100</f>
        <v>-10.655823155174149</v>
      </c>
    </row>
    <row r="43" spans="1:6" ht="7.15" customHeight="1" x14ac:dyDescent="0.35">
      <c r="A43" s="14"/>
      <c r="B43" s="14"/>
      <c r="C43" s="14"/>
      <c r="D43" s="12"/>
      <c r="E43" s="23"/>
      <c r="F43" s="23"/>
    </row>
    <row r="44" spans="1:6" x14ac:dyDescent="0.35">
      <c r="A44" s="89" t="s">
        <v>23</v>
      </c>
      <c r="B44" s="89"/>
      <c r="C44" s="89"/>
      <c r="D44" s="93"/>
      <c r="E44" s="94"/>
      <c r="F44" s="94"/>
    </row>
    <row r="45" spans="1:6" x14ac:dyDescent="0.35">
      <c r="A45" t="s">
        <v>224</v>
      </c>
      <c r="B45" s="12">
        <v>7558</v>
      </c>
      <c r="C45" s="12">
        <v>7523</v>
      </c>
      <c r="D45" s="12">
        <v>7781</v>
      </c>
      <c r="E45" s="23">
        <f>(B45-C45)/C45</f>
        <v>4.6523993087863886E-3</v>
      </c>
      <c r="F45" s="23">
        <f>(B45-D45)/D45</f>
        <v>-2.865955532707878E-2</v>
      </c>
    </row>
    <row r="46" spans="1:6" x14ac:dyDescent="0.35">
      <c r="A46" t="s">
        <v>24</v>
      </c>
      <c r="B46" s="12">
        <v>957</v>
      </c>
      <c r="C46" s="12">
        <v>957</v>
      </c>
      <c r="D46" s="12">
        <v>967</v>
      </c>
      <c r="E46" s="23">
        <f>(B46-C46)/C46</f>
        <v>0</v>
      </c>
      <c r="F46" s="23">
        <f>(B46-D46)/D46</f>
        <v>-1.0341261633919338E-2</v>
      </c>
    </row>
    <row r="47" spans="1:6" x14ac:dyDescent="0.35">
      <c r="A47" t="s">
        <v>25</v>
      </c>
      <c r="B47" s="12">
        <v>2337</v>
      </c>
      <c r="C47" s="12">
        <v>2374</v>
      </c>
      <c r="D47" s="12">
        <v>2461</v>
      </c>
      <c r="E47" s="23">
        <f>(B47-C47)/C47</f>
        <v>-1.5585509688289806E-2</v>
      </c>
      <c r="F47" s="23">
        <f>(B47-D47)/D47</f>
        <v>-5.038602194229988E-2</v>
      </c>
    </row>
  </sheetData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  <ignoredErrors>
    <ignoredError sqref="E41:F4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7.25" x14ac:dyDescent="0.35"/>
  <cols>
    <col min="1" max="1" width="57.77734375" customWidth="1"/>
    <col min="2" max="4" width="11.33203125" customWidth="1"/>
    <col min="5" max="6" width="10.88671875" customWidth="1"/>
  </cols>
  <sheetData>
    <row r="1" spans="1:6" ht="18" x14ac:dyDescent="0.35">
      <c r="A1" s="18" t="s">
        <v>16</v>
      </c>
      <c r="B1" s="18"/>
      <c r="C1" s="18"/>
      <c r="D1" s="18"/>
    </row>
    <row r="2" spans="1:6" ht="18" thickBot="1" x14ac:dyDescent="0.4">
      <c r="A2" s="19" t="s">
        <v>48</v>
      </c>
      <c r="B2" s="21">
        <f>MAX(Relevantes!$2:$2)</f>
        <v>45382</v>
      </c>
      <c r="C2" s="21">
        <f>EOMONTH(B2,-3)</f>
        <v>45291</v>
      </c>
      <c r="D2" s="21">
        <f>EOMONTH(B2,-12)</f>
        <v>45016</v>
      </c>
      <c r="E2" s="22" t="s">
        <v>207</v>
      </c>
      <c r="F2" s="22" t="s">
        <v>208</v>
      </c>
    </row>
    <row r="3" spans="1:6" x14ac:dyDescent="0.35">
      <c r="A3" t="s">
        <v>49</v>
      </c>
      <c r="B3" s="12">
        <v>10374.56639</v>
      </c>
      <c r="C3" s="12">
        <v>8040.0324659999997</v>
      </c>
      <c r="D3" s="12">
        <v>12262.385</v>
      </c>
      <c r="E3" s="23">
        <f t="shared" ref="E3:E16" si="0">(B3-C3)/C3</f>
        <v>0.29036374341426702</v>
      </c>
      <c r="F3" s="23">
        <f t="shared" ref="F3:F16" si="1">(B3-D3)/D3</f>
        <v>-0.15395199302582657</v>
      </c>
    </row>
    <row r="4" spans="1:6" x14ac:dyDescent="0.35">
      <c r="A4" s="49" t="s">
        <v>50</v>
      </c>
      <c r="B4" s="12">
        <v>601.20908699999995</v>
      </c>
      <c r="C4" s="12">
        <v>917.99193500000013</v>
      </c>
      <c r="D4" s="12">
        <v>212.619</v>
      </c>
      <c r="E4" s="23">
        <f t="shared" si="0"/>
        <v>-0.34508238680767944</v>
      </c>
      <c r="F4" s="23">
        <f t="shared" si="1"/>
        <v>1.8276357569173025</v>
      </c>
    </row>
    <row r="5" spans="1:6" x14ac:dyDescent="0.35">
      <c r="A5" s="49" t="s">
        <v>51</v>
      </c>
      <c r="B5" s="12">
        <v>1649.1109002600001</v>
      </c>
      <c r="C5" s="12">
        <v>1501.5544674299999</v>
      </c>
      <c r="D5" s="12">
        <v>1084.884</v>
      </c>
      <c r="E5" s="23">
        <f t="shared" si="0"/>
        <v>9.8269117791345797E-2</v>
      </c>
      <c r="F5" s="23">
        <f t="shared" si="1"/>
        <v>0.52008039593173105</v>
      </c>
    </row>
    <row r="6" spans="1:6" x14ac:dyDescent="0.35">
      <c r="A6" s="49" t="s">
        <v>52</v>
      </c>
      <c r="B6" s="12">
        <v>50698.087591930002</v>
      </c>
      <c r="C6" s="12">
        <v>52353.052796219999</v>
      </c>
      <c r="D6" s="12">
        <v>54778.039000000004</v>
      </c>
      <c r="E6" s="23">
        <f t="shared" si="0"/>
        <v>-3.1611627515434781E-2</v>
      </c>
      <c r="F6" s="23">
        <f t="shared" si="1"/>
        <v>-7.4481516362241484E-2</v>
      </c>
    </row>
    <row r="7" spans="1:6" x14ac:dyDescent="0.35">
      <c r="A7" s="71" t="s">
        <v>53</v>
      </c>
      <c r="B7" s="12">
        <v>1652.90704291</v>
      </c>
      <c r="C7" s="12">
        <v>2291.3789700000002</v>
      </c>
      <c r="D7" s="12">
        <v>1210.684</v>
      </c>
      <c r="E7" s="23">
        <f t="shared" si="0"/>
        <v>-0.2786409125025705</v>
      </c>
      <c r="F7" s="23">
        <f t="shared" si="1"/>
        <v>0.3652671076102435</v>
      </c>
    </row>
    <row r="8" spans="1:6" x14ac:dyDescent="0.35">
      <c r="A8" s="71" t="s">
        <v>54</v>
      </c>
      <c r="B8" s="12">
        <v>49045.180549019999</v>
      </c>
      <c r="C8" s="12">
        <v>50061.673826220002</v>
      </c>
      <c r="D8" s="12">
        <v>53567.355000000003</v>
      </c>
      <c r="E8" s="23">
        <f t="shared" si="0"/>
        <v>-2.0304820025166849E-2</v>
      </c>
      <c r="F8" s="23">
        <f t="shared" si="1"/>
        <v>-8.4420342407796764E-2</v>
      </c>
    </row>
    <row r="9" spans="1:6" x14ac:dyDescent="0.35">
      <c r="A9" s="49" t="s">
        <v>55</v>
      </c>
      <c r="B9" s="12">
        <v>24840.002714999999</v>
      </c>
      <c r="C9" s="12">
        <v>25098.801960000001</v>
      </c>
      <c r="D9" s="12">
        <v>26588.33</v>
      </c>
      <c r="E9" s="23">
        <f t="shared" si="0"/>
        <v>-1.0311219053899494E-2</v>
      </c>
      <c r="F9" s="23">
        <f t="shared" si="1"/>
        <v>-6.5755438006072697E-2</v>
      </c>
    </row>
    <row r="10" spans="1:6" x14ac:dyDescent="0.35">
      <c r="A10" s="49" t="s">
        <v>56</v>
      </c>
      <c r="B10" s="12">
        <v>1183.3225120000002</v>
      </c>
      <c r="C10" s="12">
        <v>1222.395338</v>
      </c>
      <c r="D10" s="12">
        <v>1544.1469999999999</v>
      </c>
      <c r="E10" s="23">
        <f t="shared" si="0"/>
        <v>-3.1964148410389186E-2</v>
      </c>
      <c r="F10" s="23">
        <f t="shared" si="1"/>
        <v>-0.23367236927572294</v>
      </c>
    </row>
    <row r="11" spans="1:6" x14ac:dyDescent="0.35">
      <c r="A11" s="49" t="s">
        <v>57</v>
      </c>
      <c r="B11" s="12">
        <v>827.31012269610005</v>
      </c>
      <c r="C11" s="12">
        <v>940.10253649790002</v>
      </c>
      <c r="D11" s="12">
        <v>1030.1600000000001</v>
      </c>
      <c r="E11" s="23">
        <f t="shared" si="0"/>
        <v>-0.11997884211862449</v>
      </c>
      <c r="F11" s="23">
        <f t="shared" si="1"/>
        <v>-0.19691104032761902</v>
      </c>
    </row>
    <row r="12" spans="1:6" x14ac:dyDescent="0.35">
      <c r="A12" s="49" t="s">
        <v>58</v>
      </c>
      <c r="B12" s="12">
        <v>1735.43458430039</v>
      </c>
      <c r="C12" s="12">
        <v>1766.32582558902</v>
      </c>
      <c r="D12" s="12">
        <v>1959.421</v>
      </c>
      <c r="E12" s="23">
        <f t="shared" si="0"/>
        <v>-1.7488982406928595E-2</v>
      </c>
      <c r="F12" s="23">
        <f t="shared" si="1"/>
        <v>-0.11431255238134633</v>
      </c>
    </row>
    <row r="13" spans="1:6" x14ac:dyDescent="0.35">
      <c r="A13" s="49" t="s">
        <v>59</v>
      </c>
      <c r="B13" s="12">
        <v>83.116597999999996</v>
      </c>
      <c r="C13" s="12">
        <v>84.825910000000007</v>
      </c>
      <c r="D13" s="12">
        <v>75.873999999999995</v>
      </c>
      <c r="E13" s="23">
        <f t="shared" si="0"/>
        <v>-2.0150824199823038E-2</v>
      </c>
      <c r="F13" s="23">
        <f t="shared" si="1"/>
        <v>9.5455597437857517E-2</v>
      </c>
    </row>
    <row r="14" spans="1:6" x14ac:dyDescent="0.35">
      <c r="A14" s="49" t="s">
        <v>60</v>
      </c>
      <c r="B14" s="12">
        <v>4610.0828247340196</v>
      </c>
      <c r="C14" s="12">
        <v>4719.5799872958505</v>
      </c>
      <c r="D14" s="12">
        <v>4738.6899999999996</v>
      </c>
      <c r="E14" s="23">
        <f t="shared" si="0"/>
        <v>-2.3200615914249788E-2</v>
      </c>
      <c r="F14" s="23">
        <f t="shared" si="1"/>
        <v>-2.7139816123439183E-2</v>
      </c>
    </row>
    <row r="15" spans="1:6" x14ac:dyDescent="0.35">
      <c r="A15" t="s">
        <v>268</v>
      </c>
      <c r="B15" s="12">
        <v>490.54546337500119</v>
      </c>
      <c r="C15" s="12">
        <v>507.98419781999542</v>
      </c>
      <c r="D15" s="12">
        <v>859.38199999999995</v>
      </c>
      <c r="E15" s="23">
        <f t="shared" si="0"/>
        <v>-3.4329285280589879E-2</v>
      </c>
      <c r="F15" s="23">
        <f t="shared" si="1"/>
        <v>-0.42918811032229998</v>
      </c>
    </row>
    <row r="16" spans="1:6" x14ac:dyDescent="0.35">
      <c r="A16" s="89" t="s">
        <v>61</v>
      </c>
      <c r="B16" s="93">
        <f>+SUM(B9:B15)+SUM(B3:B6)</f>
        <v>97092.788789295504</v>
      </c>
      <c r="C16" s="93">
        <f t="shared" ref="C16:D16" si="2">+SUM(C9:C15)+SUM(C3:C6)</f>
        <v>97152.647419852758</v>
      </c>
      <c r="D16" s="93">
        <f t="shared" si="2"/>
        <v>105133.93100000001</v>
      </c>
      <c r="E16" s="95">
        <f t="shared" si="0"/>
        <v>-6.1612969020360031E-4</v>
      </c>
      <c r="F16" s="95">
        <f t="shared" si="1"/>
        <v>-7.6484747923146773E-2</v>
      </c>
    </row>
    <row r="17" spans="1:6" x14ac:dyDescent="0.35">
      <c r="B17" s="12"/>
      <c r="C17" s="12"/>
      <c r="D17" s="12"/>
      <c r="E17" s="24"/>
      <c r="F17" s="24"/>
    </row>
    <row r="18" spans="1:6" x14ac:dyDescent="0.35">
      <c r="A18" t="s">
        <v>62</v>
      </c>
      <c r="B18" s="12">
        <v>456.14212099999997</v>
      </c>
      <c r="C18" s="12">
        <v>462.83834200000001</v>
      </c>
      <c r="D18" s="12">
        <v>49.3</v>
      </c>
      <c r="E18" s="23">
        <f t="shared" ref="E18:E34" si="3">(B18-C18)/C18</f>
        <v>-1.446773180256539E-2</v>
      </c>
      <c r="F18" s="23">
        <f t="shared" ref="F18:F34" si="4">(B18-D18)/D18</f>
        <v>8.2523756795131842</v>
      </c>
    </row>
    <row r="19" spans="1:6" x14ac:dyDescent="0.35">
      <c r="A19" t="s">
        <v>63</v>
      </c>
      <c r="B19" s="12">
        <v>86752.253718880791</v>
      </c>
      <c r="C19" s="12">
        <v>86556.315782238875</v>
      </c>
      <c r="D19" s="12">
        <v>94881.755999999994</v>
      </c>
      <c r="E19" s="23">
        <f t="shared" si="3"/>
        <v>2.2637046744787871E-3</v>
      </c>
      <c r="F19" s="23">
        <f t="shared" si="4"/>
        <v>-8.5680352302071675E-2</v>
      </c>
    </row>
    <row r="20" spans="1:6" x14ac:dyDescent="0.35">
      <c r="A20" s="4" t="s">
        <v>197</v>
      </c>
      <c r="B20" s="12">
        <v>0</v>
      </c>
      <c r="C20" s="12">
        <v>953.97141899999997</v>
      </c>
      <c r="D20" s="12">
        <v>5352.6570000000002</v>
      </c>
      <c r="E20" s="23">
        <f t="shared" si="3"/>
        <v>-1</v>
      </c>
      <c r="F20" s="23">
        <f t="shared" si="4"/>
        <v>-1</v>
      </c>
    </row>
    <row r="21" spans="1:6" x14ac:dyDescent="0.35">
      <c r="A21" s="4" t="s">
        <v>198</v>
      </c>
      <c r="B21" s="12">
        <v>5775.4178901000005</v>
      </c>
      <c r="C21" s="12">
        <v>5772.6426040000006</v>
      </c>
      <c r="D21" s="12">
        <v>8358.4529999999995</v>
      </c>
      <c r="E21" s="23">
        <f t="shared" si="3"/>
        <v>4.8076527344284949E-4</v>
      </c>
      <c r="F21" s="23">
        <f t="shared" si="4"/>
        <v>-0.30903267744641255</v>
      </c>
    </row>
    <row r="22" spans="1:6" x14ac:dyDescent="0.35">
      <c r="A22" s="4" t="s">
        <v>64</v>
      </c>
      <c r="B22" s="12">
        <v>74386.515306999994</v>
      </c>
      <c r="C22" s="12">
        <v>73475.045715</v>
      </c>
      <c r="D22" s="12">
        <v>74734.293999999994</v>
      </c>
      <c r="E22" s="23">
        <f t="shared" si="3"/>
        <v>1.2405158555946521E-2</v>
      </c>
      <c r="F22" s="23">
        <f t="shared" si="4"/>
        <v>-4.6535355375137448E-3</v>
      </c>
    </row>
    <row r="23" spans="1:6" x14ac:dyDescent="0.35">
      <c r="A23" s="4" t="s">
        <v>65</v>
      </c>
      <c r="B23" s="12">
        <v>4536.6482489999999</v>
      </c>
      <c r="C23" s="12">
        <v>4239.2321480000001</v>
      </c>
      <c r="D23" s="12">
        <v>3860.9459999999999</v>
      </c>
      <c r="E23" s="23">
        <f t="shared" si="3"/>
        <v>7.0158012257081945E-2</v>
      </c>
      <c r="F23" s="23">
        <f t="shared" si="4"/>
        <v>0.17500950518344466</v>
      </c>
    </row>
    <row r="24" spans="1:6" x14ac:dyDescent="0.35">
      <c r="A24" s="4" t="s">
        <v>66</v>
      </c>
      <c r="B24" s="12">
        <v>2053.6722727808001</v>
      </c>
      <c r="C24" s="12">
        <v>2115.4238962388799</v>
      </c>
      <c r="D24" s="12">
        <v>2575.4059999999999</v>
      </c>
      <c r="E24" s="23">
        <f t="shared" si="3"/>
        <v>-2.9191134489816063E-2</v>
      </c>
      <c r="F24" s="23">
        <f t="shared" si="4"/>
        <v>-0.20258309843931399</v>
      </c>
    </row>
    <row r="25" spans="1:6" x14ac:dyDescent="0.35">
      <c r="A25" t="s">
        <v>56</v>
      </c>
      <c r="B25" s="12">
        <v>994.19346799999994</v>
      </c>
      <c r="C25" s="12">
        <v>1148.037973</v>
      </c>
      <c r="D25" s="12">
        <v>1255.0239999999999</v>
      </c>
      <c r="E25" s="23">
        <f t="shared" si="3"/>
        <v>-0.13400646025495189</v>
      </c>
      <c r="F25" s="23">
        <f t="shared" si="4"/>
        <v>-0.20782911880569613</v>
      </c>
    </row>
    <row r="26" spans="1:6" x14ac:dyDescent="0.35">
      <c r="A26" t="s">
        <v>67</v>
      </c>
      <c r="B26" s="12">
        <v>899.6681820199999</v>
      </c>
      <c r="C26" s="12">
        <v>957.05244971000002</v>
      </c>
      <c r="D26" s="12">
        <v>1059.867</v>
      </c>
      <c r="E26" s="23">
        <f t="shared" si="3"/>
        <v>-5.9959376006391639E-2</v>
      </c>
      <c r="F26" s="23">
        <f t="shared" si="4"/>
        <v>-0.15114992539629979</v>
      </c>
    </row>
    <row r="27" spans="1:6" x14ac:dyDescent="0.35">
      <c r="A27" t="s">
        <v>68</v>
      </c>
      <c r="B27" s="12">
        <v>492.71150818000001</v>
      </c>
      <c r="C27" s="12">
        <v>413.96053318000003</v>
      </c>
      <c r="D27" s="12">
        <v>434.44099999999997</v>
      </c>
      <c r="E27" s="23">
        <f t="shared" si="3"/>
        <v>0.19023788184599028</v>
      </c>
      <c r="F27" s="23">
        <f t="shared" si="4"/>
        <v>0.13412755283226041</v>
      </c>
    </row>
    <row r="28" spans="1:6" x14ac:dyDescent="0.35">
      <c r="A28" t="s">
        <v>69</v>
      </c>
      <c r="B28" s="12">
        <v>940.89139044000001</v>
      </c>
      <c r="C28" s="12">
        <v>968.38609636700005</v>
      </c>
      <c r="D28" s="12">
        <v>1128.4690000000001</v>
      </c>
      <c r="E28" s="23">
        <f t="shared" si="3"/>
        <v>-2.8392297277035735E-2</v>
      </c>
      <c r="F28" s="23">
        <f t="shared" si="4"/>
        <v>-0.1662230947948061</v>
      </c>
    </row>
    <row r="29" spans="1:6" x14ac:dyDescent="0.35">
      <c r="A29" s="109" t="s">
        <v>70</v>
      </c>
      <c r="B29" s="110">
        <f>+SUM(B18:B19)+SUM(B25:B28)</f>
        <v>90535.860388520785</v>
      </c>
      <c r="C29" s="110">
        <f t="shared" ref="C29:D29" si="5">+SUM(C18:C19)+SUM(C25:C28)</f>
        <v>90506.591176495873</v>
      </c>
      <c r="D29" s="110">
        <f t="shared" si="5"/>
        <v>98808.856999999989</v>
      </c>
      <c r="E29" s="111">
        <f t="shared" si="3"/>
        <v>3.2339315451439954E-4</v>
      </c>
      <c r="F29" s="111">
        <f t="shared" si="4"/>
        <v>-8.3727277722473861E-2</v>
      </c>
    </row>
    <row r="30" spans="1:6" x14ac:dyDescent="0.35">
      <c r="A30" t="s">
        <v>199</v>
      </c>
      <c r="B30" s="12">
        <v>6620.2066176434801</v>
      </c>
      <c r="C30" s="12">
        <v>6522.8169423926802</v>
      </c>
      <c r="D30" s="12">
        <v>6329.6809999999996</v>
      </c>
      <c r="E30" s="23">
        <f t="shared" si="3"/>
        <v>1.4930616037658677E-2</v>
      </c>
      <c r="F30" s="23">
        <f t="shared" si="4"/>
        <v>4.58989351348797E-2</v>
      </c>
    </row>
    <row r="31" spans="1:6" x14ac:dyDescent="0.35">
      <c r="A31" t="s">
        <v>71</v>
      </c>
      <c r="B31" s="12">
        <v>-65.644106625373809</v>
      </c>
      <c r="C31" s="12">
        <v>120.80803653691001</v>
      </c>
      <c r="D31" s="12">
        <v>-5.0650000000000004</v>
      </c>
      <c r="E31" s="23">
        <f t="shared" si="3"/>
        <v>-1.5433753292175874</v>
      </c>
      <c r="F31" s="23">
        <f t="shared" si="4"/>
        <v>11.960336944792459</v>
      </c>
    </row>
    <row r="32" spans="1:6" x14ac:dyDescent="0.35">
      <c r="A32" t="s">
        <v>200</v>
      </c>
      <c r="B32" s="12">
        <v>2.3658847565999999</v>
      </c>
      <c r="C32" s="12">
        <v>2.4312594273000001</v>
      </c>
      <c r="D32" s="12">
        <v>0.45800000000000002</v>
      </c>
      <c r="E32" s="23">
        <f t="shared" si="3"/>
        <v>-2.6889220445142352E-2</v>
      </c>
      <c r="F32" s="23">
        <f t="shared" si="4"/>
        <v>4.1656872414847159</v>
      </c>
    </row>
    <row r="33" spans="1:6" ht="18" thickBot="1" x14ac:dyDescent="0.4">
      <c r="A33" s="112" t="s">
        <v>72</v>
      </c>
      <c r="B33" s="113">
        <f>+SUM(B30:B32)</f>
        <v>6556.9283957747066</v>
      </c>
      <c r="C33" s="113">
        <f t="shared" ref="C33:D33" si="6">+SUM(C30:C32)</f>
        <v>6646.0562383568895</v>
      </c>
      <c r="D33" s="113">
        <f t="shared" si="6"/>
        <v>6325.0739999999996</v>
      </c>
      <c r="E33" s="114">
        <f t="shared" si="3"/>
        <v>-1.341063623082101E-2</v>
      </c>
      <c r="F33" s="114">
        <f t="shared" si="4"/>
        <v>3.6656392601052093E-2</v>
      </c>
    </row>
    <row r="34" spans="1:6" x14ac:dyDescent="0.35">
      <c r="A34" s="89" t="s">
        <v>73</v>
      </c>
      <c r="B34" s="93">
        <f>+B29+B33</f>
        <v>97092.788784295495</v>
      </c>
      <c r="C34" s="93">
        <f t="shared" ref="C34:D34" si="7">+C29+C33</f>
        <v>97152.647414852763</v>
      </c>
      <c r="D34" s="93">
        <f t="shared" si="7"/>
        <v>105133.93099999998</v>
      </c>
      <c r="E34" s="95">
        <f t="shared" si="3"/>
        <v>-6.1612969023545948E-4</v>
      </c>
      <c r="F34" s="95">
        <f t="shared" si="4"/>
        <v>-7.6484747970704994E-2</v>
      </c>
    </row>
    <row r="35" spans="1:6" x14ac:dyDescent="0.35">
      <c r="A35" s="1"/>
      <c r="B35" s="63"/>
      <c r="C35" s="63"/>
      <c r="D35" s="63"/>
      <c r="E35" s="25"/>
      <c r="F35" s="25"/>
    </row>
  </sheetData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0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9.77734375" defaultRowHeight="17.25" x14ac:dyDescent="0.35"/>
  <cols>
    <col min="1" max="1" width="44.77734375" customWidth="1"/>
    <col min="2" max="2" width="11.21875" customWidth="1"/>
    <col min="3" max="4" width="11.33203125" customWidth="1"/>
    <col min="5" max="6" width="10.88671875" customWidth="1"/>
    <col min="9" max="14" width="8.77734375" bestFit="1" customWidth="1"/>
  </cols>
  <sheetData>
    <row r="1" spans="1:6" ht="18" x14ac:dyDescent="0.35">
      <c r="A1" s="18" t="s">
        <v>74</v>
      </c>
      <c r="B1" s="18"/>
      <c r="C1" s="18"/>
    </row>
    <row r="2" spans="1:6" ht="18" thickBot="1" x14ac:dyDescent="0.4">
      <c r="A2" s="19" t="s">
        <v>75</v>
      </c>
      <c r="B2" s="21">
        <f>MAX(Relevantes!$2:$2)</f>
        <v>45382</v>
      </c>
      <c r="C2" s="21">
        <f>EOMONTH(B2,-3)</f>
        <v>45291</v>
      </c>
      <c r="D2" s="21">
        <f>EOMONTH(B2,-12)</f>
        <v>45016</v>
      </c>
      <c r="E2" s="64" t="s">
        <v>207</v>
      </c>
      <c r="F2" s="64" t="s">
        <v>208</v>
      </c>
    </row>
    <row r="3" spans="1:6" x14ac:dyDescent="0.35">
      <c r="A3" s="89" t="s">
        <v>256</v>
      </c>
      <c r="B3" s="93">
        <v>78727.595291799982</v>
      </c>
      <c r="C3" s="93">
        <v>77659.917257109992</v>
      </c>
      <c r="D3" s="93">
        <v>78733.485057350001</v>
      </c>
      <c r="E3" s="95">
        <f>(+B3-C3)/C3</f>
        <v>1.3748122228294564E-2</v>
      </c>
      <c r="F3" s="95">
        <f>(+B3-D3)/D3</f>
        <v>-7.4806361559233563E-5</v>
      </c>
    </row>
    <row r="4" spans="1:6" x14ac:dyDescent="0.35">
      <c r="A4" s="115" t="s">
        <v>279</v>
      </c>
      <c r="B4" s="110">
        <v>70148.151848699985</v>
      </c>
      <c r="C4" s="110">
        <v>69223.582213789996</v>
      </c>
      <c r="D4" s="110">
        <v>70136.846672009997</v>
      </c>
      <c r="E4" s="111">
        <f>(+B4-C4)/C4</f>
        <v>1.3356281274993104E-2</v>
      </c>
      <c r="F4" s="111">
        <f>(+B4-D4)/D4</f>
        <v>1.6118741041860438E-4</v>
      </c>
    </row>
    <row r="5" spans="1:6" x14ac:dyDescent="0.35">
      <c r="A5" s="6" t="s">
        <v>76</v>
      </c>
      <c r="B5" s="13">
        <v>7090.7048059400004</v>
      </c>
      <c r="C5" s="13">
        <v>5453.95164879</v>
      </c>
      <c r="D5" s="13">
        <v>5584.8946804500001</v>
      </c>
      <c r="E5" s="25">
        <f>(+B5-C5)/C5</f>
        <v>0.3001040827916262</v>
      </c>
      <c r="F5" s="25">
        <f>(+B5-D5)/D5</f>
        <v>0.26962193768149451</v>
      </c>
    </row>
    <row r="6" spans="1:6" x14ac:dyDescent="0.35">
      <c r="A6" s="4" t="s">
        <v>278</v>
      </c>
      <c r="B6" s="12">
        <v>4338.1538351399995</v>
      </c>
      <c r="C6" s="12">
        <v>5453.95164879</v>
      </c>
      <c r="D6" s="12">
        <v>5584.8946804500001</v>
      </c>
      <c r="E6" s="24">
        <f>(+B6-C6)/C6</f>
        <v>-0.2045852045456891</v>
      </c>
      <c r="F6" s="24">
        <f>(+B6-D6)/D6</f>
        <v>-0.22323444158655917</v>
      </c>
    </row>
    <row r="7" spans="1:6" x14ac:dyDescent="0.35">
      <c r="A7" s="4" t="s">
        <v>252</v>
      </c>
      <c r="B7" s="12">
        <v>2752.5509708000004</v>
      </c>
      <c r="C7" s="12">
        <v>0</v>
      </c>
      <c r="D7" s="12">
        <v>0</v>
      </c>
      <c r="E7" s="24"/>
      <c r="F7" s="24"/>
    </row>
    <row r="8" spans="1:6" x14ac:dyDescent="0.35">
      <c r="A8" s="6" t="s">
        <v>77</v>
      </c>
      <c r="B8" s="13">
        <v>63057.447042759988</v>
      </c>
      <c r="C8" s="13">
        <v>63769.630564999992</v>
      </c>
      <c r="D8" s="13">
        <v>64551.951991559996</v>
      </c>
      <c r="E8" s="25">
        <f t="shared" ref="E8:E29" si="0">(+B8-C8)/C8</f>
        <v>-1.1168067243451879E-2</v>
      </c>
      <c r="F8" s="25">
        <f t="shared" ref="F8:F29" si="1">(+B8-D8)/D8</f>
        <v>-2.3151971438375874E-2</v>
      </c>
    </row>
    <row r="9" spans="1:6" x14ac:dyDescent="0.35">
      <c r="A9" s="4" t="s">
        <v>78</v>
      </c>
      <c r="B9" s="12">
        <v>51772.19168964999</v>
      </c>
      <c r="C9" s="12">
        <v>52052.770061929994</v>
      </c>
      <c r="D9" s="12">
        <v>55232.99067829</v>
      </c>
      <c r="E9" s="24">
        <f t="shared" si="0"/>
        <v>-5.3902678367776583E-3</v>
      </c>
      <c r="F9" s="24">
        <f t="shared" si="1"/>
        <v>-6.2658185735365565E-2</v>
      </c>
    </row>
    <row r="10" spans="1:6" x14ac:dyDescent="0.35">
      <c r="A10" s="4" t="s">
        <v>79</v>
      </c>
      <c r="B10" s="12">
        <v>10557.547247089999</v>
      </c>
      <c r="C10" s="12">
        <v>10127.88594529</v>
      </c>
      <c r="D10" s="12">
        <v>6967.2598606399997</v>
      </c>
      <c r="E10" s="24">
        <f t="shared" si="0"/>
        <v>4.2423592062646995E-2</v>
      </c>
      <c r="F10" s="24">
        <f t="shared" si="1"/>
        <v>0.51530837922847361</v>
      </c>
    </row>
    <row r="11" spans="1:6" x14ac:dyDescent="0.35">
      <c r="A11" s="4" t="s">
        <v>252</v>
      </c>
      <c r="B11" s="12">
        <v>727.70810601999995</v>
      </c>
      <c r="C11" s="12">
        <v>1588.9745577799999</v>
      </c>
      <c r="D11" s="12">
        <v>2351.7014526299995</v>
      </c>
      <c r="E11" s="24">
        <f t="shared" si="0"/>
        <v>-0.54202658409037019</v>
      </c>
      <c r="F11" s="24">
        <f t="shared" si="1"/>
        <v>-0.6905610169155717</v>
      </c>
    </row>
    <row r="12" spans="1:6" x14ac:dyDescent="0.35">
      <c r="A12" s="115" t="s">
        <v>80</v>
      </c>
      <c r="B12" s="110">
        <v>8579.4434431000009</v>
      </c>
      <c r="C12" s="110">
        <v>8436.3350433199994</v>
      </c>
      <c r="D12" s="110">
        <v>8596.6383853400002</v>
      </c>
      <c r="E12" s="111">
        <f t="shared" si="0"/>
        <v>1.6963337639525899E-2</v>
      </c>
      <c r="F12" s="111">
        <f t="shared" si="1"/>
        <v>-2.0001937349513506E-3</v>
      </c>
    </row>
    <row r="13" spans="1:6" x14ac:dyDescent="0.35">
      <c r="A13" s="17" t="s">
        <v>253</v>
      </c>
      <c r="B13" s="43">
        <v>5222.0512820000004</v>
      </c>
      <c r="C13" s="43">
        <v>5382.1366822199998</v>
      </c>
      <c r="D13" s="43">
        <v>5839.3611853399998</v>
      </c>
      <c r="E13" s="24">
        <f t="shared" si="0"/>
        <v>-2.9743837749205602E-2</v>
      </c>
      <c r="F13" s="24">
        <f t="shared" si="1"/>
        <v>-0.10571531435489655</v>
      </c>
    </row>
    <row r="14" spans="1:6" x14ac:dyDescent="0.35">
      <c r="A14" s="17" t="s">
        <v>254</v>
      </c>
      <c r="B14" s="12">
        <v>2457.3921611000001</v>
      </c>
      <c r="C14" s="12">
        <v>2455.0563611000002</v>
      </c>
      <c r="D14" s="12">
        <v>2158.1352000000002</v>
      </c>
      <c r="E14" s="24">
        <f t="shared" si="0"/>
        <v>9.5142418602286939E-4</v>
      </c>
      <c r="F14" s="24">
        <f t="shared" si="1"/>
        <v>0.1386646031722201</v>
      </c>
    </row>
    <row r="15" spans="1:6" x14ac:dyDescent="0.35">
      <c r="A15" s="17" t="s">
        <v>255</v>
      </c>
      <c r="B15" s="12">
        <v>900</v>
      </c>
      <c r="C15" s="12">
        <v>599.14200000000005</v>
      </c>
      <c r="D15" s="12">
        <v>599.14200000000005</v>
      </c>
      <c r="E15" s="24">
        <f t="shared" si="0"/>
        <v>0.5021480717425918</v>
      </c>
      <c r="F15" s="24">
        <f t="shared" si="1"/>
        <v>0.5021480717425918</v>
      </c>
    </row>
    <row r="16" spans="1:6" x14ac:dyDescent="0.35">
      <c r="A16" s="89" t="s">
        <v>81</v>
      </c>
      <c r="B16" s="93">
        <v>21423.602687399998</v>
      </c>
      <c r="C16" s="93">
        <v>21087.046685360001</v>
      </c>
      <c r="D16" s="93">
        <v>20851.165795590001</v>
      </c>
      <c r="E16" s="95">
        <f t="shared" si="0"/>
        <v>1.5960319482464853E-2</v>
      </c>
      <c r="F16" s="95">
        <f t="shared" si="1"/>
        <v>2.745347178290947E-2</v>
      </c>
    </row>
    <row r="17" spans="1:7" x14ac:dyDescent="0.35">
      <c r="A17" s="5" t="s">
        <v>257</v>
      </c>
      <c r="B17" s="12">
        <v>11822.852964469997</v>
      </c>
      <c r="C17" s="12">
        <v>11404</v>
      </c>
      <c r="D17" s="12">
        <v>11370.22614995</v>
      </c>
      <c r="E17" s="24">
        <f t="shared" si="0"/>
        <v>3.672860088302328E-2</v>
      </c>
      <c r="F17" s="24">
        <f t="shared" si="1"/>
        <v>3.9808074927514772E-2</v>
      </c>
    </row>
    <row r="18" spans="1:7" x14ac:dyDescent="0.35">
      <c r="A18" s="5" t="s">
        <v>258</v>
      </c>
      <c r="B18" s="12">
        <v>3663.7520891699996</v>
      </c>
      <c r="C18" s="12">
        <v>3611.4705532099997</v>
      </c>
      <c r="D18" s="12">
        <v>3711.9769209999995</v>
      </c>
      <c r="E18" s="24">
        <f t="shared" si="0"/>
        <v>1.4476522842898524E-2</v>
      </c>
      <c r="F18" s="24">
        <f t="shared" si="1"/>
        <v>-1.2991684177014812E-2</v>
      </c>
    </row>
    <row r="19" spans="1:7" x14ac:dyDescent="0.35">
      <c r="A19" s="5" t="s">
        <v>259</v>
      </c>
      <c r="B19" s="12">
        <v>4648.7797047699996</v>
      </c>
      <c r="C19" s="12">
        <v>4925.5761321500004</v>
      </c>
      <c r="D19" s="12">
        <v>4616.9881030899996</v>
      </c>
      <c r="E19" s="42">
        <f t="shared" si="0"/>
        <v>-5.6195746437316743E-2</v>
      </c>
      <c r="F19" s="42">
        <f t="shared" si="1"/>
        <v>6.8857880874163184E-3</v>
      </c>
    </row>
    <row r="20" spans="1:7" x14ac:dyDescent="0.35">
      <c r="A20" s="5" t="s">
        <v>260</v>
      </c>
      <c r="B20" s="12">
        <v>1288.2179289900002</v>
      </c>
      <c r="C20" s="12">
        <v>1146</v>
      </c>
      <c r="D20" s="12">
        <v>1151.9746215499999</v>
      </c>
      <c r="E20" s="42">
        <f t="shared" si="0"/>
        <v>0.12409941447644</v>
      </c>
      <c r="F20" s="42">
        <f t="shared" si="1"/>
        <v>0.11826936539338237</v>
      </c>
    </row>
    <row r="21" spans="1:7" x14ac:dyDescent="0.35">
      <c r="A21" s="89" t="s">
        <v>82</v>
      </c>
      <c r="B21" s="93">
        <v>100151.19797919998</v>
      </c>
      <c r="C21" s="93">
        <v>98746.96394247</v>
      </c>
      <c r="D21" s="93">
        <v>99584.650852940002</v>
      </c>
      <c r="E21" s="95">
        <f t="shared" si="0"/>
        <v>1.4220528719729385E-2</v>
      </c>
      <c r="F21" s="95">
        <f t="shared" si="1"/>
        <v>5.6891008946410235E-3</v>
      </c>
    </row>
    <row r="22" spans="1:7" x14ac:dyDescent="0.35">
      <c r="A22" s="116" t="s">
        <v>83</v>
      </c>
      <c r="B22" s="110">
        <v>88114.160599179988</v>
      </c>
      <c r="C22" s="110">
        <v>88824.730661879992</v>
      </c>
      <c r="D22" s="110">
        <v>88736.720894690006</v>
      </c>
      <c r="E22" s="111">
        <f t="shared" si="0"/>
        <v>-7.9996872200475168E-3</v>
      </c>
      <c r="F22" s="111">
        <f t="shared" si="1"/>
        <v>-7.0158136252167101E-3</v>
      </c>
    </row>
    <row r="23" spans="1:7" x14ac:dyDescent="0.35">
      <c r="A23" s="4" t="s">
        <v>84</v>
      </c>
      <c r="B23" s="12">
        <v>66690.557911779993</v>
      </c>
      <c r="C23" s="12">
        <v>67737.683976519984</v>
      </c>
      <c r="D23" s="12">
        <v>67885.555099100005</v>
      </c>
      <c r="E23" s="61">
        <f t="shared" si="0"/>
        <v>-1.5458545425068818E-2</v>
      </c>
      <c r="F23" s="61">
        <f t="shared" si="1"/>
        <v>-1.760311432344544E-2</v>
      </c>
    </row>
    <row r="24" spans="1:7" x14ac:dyDescent="0.35">
      <c r="A24" s="50" t="s">
        <v>76</v>
      </c>
      <c r="B24" s="12">
        <v>4338.1538351399995</v>
      </c>
      <c r="C24" s="12">
        <v>5453.95164879</v>
      </c>
      <c r="D24" s="12">
        <v>5584.8946804500001</v>
      </c>
      <c r="E24" s="61">
        <f t="shared" si="0"/>
        <v>-0.2045852045456891</v>
      </c>
      <c r="F24" s="61">
        <f t="shared" si="1"/>
        <v>-0.22323444158655917</v>
      </c>
    </row>
    <row r="25" spans="1:7" x14ac:dyDescent="0.35">
      <c r="A25" s="50" t="s">
        <v>85</v>
      </c>
      <c r="B25" s="12">
        <v>51772.19168964999</v>
      </c>
      <c r="C25" s="12">
        <v>52052.770061929994</v>
      </c>
      <c r="D25" s="12">
        <v>55232.99067829</v>
      </c>
      <c r="E25" s="61">
        <f t="shared" si="0"/>
        <v>-5.3902678367776583E-3</v>
      </c>
      <c r="F25" s="61">
        <f t="shared" si="1"/>
        <v>-6.2658185735365565E-2</v>
      </c>
    </row>
    <row r="26" spans="1:7" x14ac:dyDescent="0.35">
      <c r="A26" s="50" t="s">
        <v>86</v>
      </c>
      <c r="B26" s="12">
        <v>10557.547247089999</v>
      </c>
      <c r="C26" s="12">
        <v>10127.88594529</v>
      </c>
      <c r="D26" s="12">
        <v>6967.2598606399997</v>
      </c>
      <c r="E26" s="61">
        <f t="shared" si="0"/>
        <v>4.2423592062646995E-2</v>
      </c>
      <c r="F26" s="61">
        <f t="shared" si="1"/>
        <v>0.51530837922847361</v>
      </c>
    </row>
    <row r="27" spans="1:7" x14ac:dyDescent="0.35">
      <c r="A27" s="50" t="s">
        <v>87</v>
      </c>
      <c r="B27" s="12">
        <v>22.6651399</v>
      </c>
      <c r="C27" s="12">
        <v>103.07632051</v>
      </c>
      <c r="D27" s="12">
        <v>100.40987971999999</v>
      </c>
      <c r="E27" s="61">
        <f t="shared" si="0"/>
        <v>-0.78011302898805812</v>
      </c>
      <c r="F27" s="61">
        <f t="shared" si="1"/>
        <v>-0.77427380688829295</v>
      </c>
      <c r="G27" s="12"/>
    </row>
    <row r="28" spans="1:7" x14ac:dyDescent="0.35">
      <c r="A28" s="4" t="s">
        <v>88</v>
      </c>
      <c r="B28" s="12">
        <v>21423.602687399998</v>
      </c>
      <c r="C28" s="12">
        <v>21087.046685360001</v>
      </c>
      <c r="D28" s="12">
        <v>20851.165795590001</v>
      </c>
      <c r="E28" s="61">
        <f t="shared" si="0"/>
        <v>1.5960319482464853E-2</v>
      </c>
      <c r="F28" s="61">
        <f t="shared" si="1"/>
        <v>2.745347178290947E-2</v>
      </c>
    </row>
    <row r="29" spans="1:7" x14ac:dyDescent="0.35">
      <c r="A29" s="116" t="s">
        <v>89</v>
      </c>
      <c r="B29" s="110">
        <v>12037.037380020001</v>
      </c>
      <c r="C29" s="110">
        <v>9922.2332805900005</v>
      </c>
      <c r="D29" s="110">
        <v>10847.929958249999</v>
      </c>
      <c r="E29" s="111">
        <f t="shared" si="0"/>
        <v>0.21313791357506254</v>
      </c>
      <c r="F29" s="111">
        <f t="shared" si="1"/>
        <v>0.10961606742912919</v>
      </c>
    </row>
    <row r="30" spans="1:7" x14ac:dyDescent="0.35">
      <c r="B30" s="62"/>
      <c r="C30" s="62"/>
    </row>
  </sheetData>
  <pageMargins left="0.70866141732283472" right="0.70866141732283472" top="0.74803149606299213" bottom="0.74803149606299213" header="0.31496062992125984" footer="0.31496062992125984"/>
  <pageSetup paperSize="9" scale="62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8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7.25" x14ac:dyDescent="0.35"/>
  <cols>
    <col min="1" max="1" width="43.109375" customWidth="1"/>
    <col min="2" max="4" width="11.33203125" customWidth="1"/>
  </cols>
  <sheetData>
    <row r="1" spans="1:6" ht="18" x14ac:dyDescent="0.35">
      <c r="A1" s="18" t="s">
        <v>90</v>
      </c>
      <c r="B1" s="18"/>
      <c r="C1" s="18"/>
    </row>
    <row r="2" spans="1:6" ht="18" thickBot="1" x14ac:dyDescent="0.4">
      <c r="A2" s="19" t="s">
        <v>75</v>
      </c>
      <c r="B2" s="21">
        <f>MAX(Relevantes!$2:$2)</f>
        <v>45382</v>
      </c>
      <c r="C2" s="21">
        <f>EOMONTH(B2,-3)</f>
        <v>45291</v>
      </c>
      <c r="D2" s="21">
        <f>EOMONTH(B2,-12)</f>
        <v>45016</v>
      </c>
      <c r="E2" s="22" t="s">
        <v>207</v>
      </c>
      <c r="F2" s="22" t="s">
        <v>208</v>
      </c>
    </row>
    <row r="3" spans="1:6" ht="18" thickBot="1" x14ac:dyDescent="0.4">
      <c r="A3" s="109" t="s">
        <v>91</v>
      </c>
      <c r="B3" s="110">
        <v>4568.7670510000007</v>
      </c>
      <c r="C3" s="110">
        <v>4799.1632669999999</v>
      </c>
      <c r="D3" s="110">
        <v>5348.7714470000001</v>
      </c>
      <c r="E3" s="111">
        <f t="shared" ref="E3:E12" si="0">(B3-C3)/C3</f>
        <v>-4.8007580318062806E-2</v>
      </c>
      <c r="F3" s="111">
        <f t="shared" ref="F3:F12" si="1">(B3-D3)/D3</f>
        <v>-0.14582870173626233</v>
      </c>
    </row>
    <row r="4" spans="1:6" x14ac:dyDescent="0.35">
      <c r="A4" s="117" t="s">
        <v>92</v>
      </c>
      <c r="B4" s="118">
        <v>42959.139430519994</v>
      </c>
      <c r="C4" s="118">
        <v>43525.399588120003</v>
      </c>
      <c r="D4" s="118">
        <v>46256.954250547991</v>
      </c>
      <c r="E4" s="119">
        <f t="shared" si="0"/>
        <v>-1.3009878437843594E-2</v>
      </c>
      <c r="F4" s="119">
        <f t="shared" si="1"/>
        <v>-7.1293384388552331E-2</v>
      </c>
    </row>
    <row r="5" spans="1:6" x14ac:dyDescent="0.35">
      <c r="A5" s="1" t="s">
        <v>93</v>
      </c>
      <c r="B5" s="13">
        <v>10253.001373340001</v>
      </c>
      <c r="C5" s="13">
        <v>10503.38504888</v>
      </c>
      <c r="D5" s="13">
        <v>12088.045301078</v>
      </c>
      <c r="E5" s="25">
        <f t="shared" si="0"/>
        <v>-2.3838379186783967E-2</v>
      </c>
      <c r="F5" s="25">
        <f t="shared" si="1"/>
        <v>-0.15180650651386554</v>
      </c>
    </row>
    <row r="6" spans="1:6" x14ac:dyDescent="0.35">
      <c r="A6" t="s">
        <v>94</v>
      </c>
      <c r="B6" s="12">
        <v>447.01943337999995</v>
      </c>
      <c r="C6" s="12">
        <v>508.33525655000011</v>
      </c>
      <c r="D6" s="12">
        <v>591.69642025000007</v>
      </c>
      <c r="E6" s="24">
        <f t="shared" si="0"/>
        <v>-0.12062083512786823</v>
      </c>
      <c r="F6" s="24">
        <f t="shared" si="1"/>
        <v>-0.24451218888373882</v>
      </c>
    </row>
    <row r="7" spans="1:6" x14ac:dyDescent="0.35">
      <c r="A7" t="s">
        <v>95</v>
      </c>
      <c r="B7" s="12">
        <v>4633.4303158599996</v>
      </c>
      <c r="C7" s="12">
        <v>4807.8069822799989</v>
      </c>
      <c r="D7" s="12">
        <v>6037.7492687899994</v>
      </c>
      <c r="E7" s="24">
        <f t="shared" si="0"/>
        <v>-3.62694815042897E-2</v>
      </c>
      <c r="F7" s="24">
        <f t="shared" si="1"/>
        <v>-0.23258980961483908</v>
      </c>
    </row>
    <row r="8" spans="1:6" x14ac:dyDescent="0.35">
      <c r="A8" t="s">
        <v>96</v>
      </c>
      <c r="B8" s="12">
        <v>5172.5516241000005</v>
      </c>
      <c r="C8" s="12">
        <v>5187.242810050001</v>
      </c>
      <c r="D8" s="12">
        <v>5458.5996120379996</v>
      </c>
      <c r="E8" s="24">
        <f t="shared" si="0"/>
        <v>-2.8321762616427305E-3</v>
      </c>
      <c r="F8" s="24">
        <f t="shared" si="1"/>
        <v>-5.2403181817396831E-2</v>
      </c>
    </row>
    <row r="9" spans="1:6" x14ac:dyDescent="0.35">
      <c r="A9" s="1" t="s">
        <v>97</v>
      </c>
      <c r="B9" s="13">
        <v>32706.138057179996</v>
      </c>
      <c r="C9" s="13">
        <v>33022.014539240001</v>
      </c>
      <c r="D9" s="13">
        <v>34168.908949469995</v>
      </c>
      <c r="E9" s="25">
        <f t="shared" si="0"/>
        <v>-9.5656333045535131E-3</v>
      </c>
      <c r="F9" s="25">
        <f t="shared" si="1"/>
        <v>-4.2809997078138713E-2</v>
      </c>
    </row>
    <row r="10" spans="1:6" x14ac:dyDescent="0.35">
      <c r="A10" s="15" t="s">
        <v>98</v>
      </c>
      <c r="B10" s="12">
        <v>29770.839207091398</v>
      </c>
      <c r="C10" s="12">
        <v>30134.312679030503</v>
      </c>
      <c r="D10" s="12">
        <v>31247.346995530326</v>
      </c>
      <c r="E10" s="24">
        <f t="shared" si="0"/>
        <v>-1.2061780728519315E-2</v>
      </c>
      <c r="F10" s="24">
        <f t="shared" si="1"/>
        <v>-4.7252260764734065E-2</v>
      </c>
    </row>
    <row r="11" spans="1:6" x14ac:dyDescent="0.35">
      <c r="A11" t="s">
        <v>99</v>
      </c>
      <c r="B11" s="12">
        <v>2935.2988500885972</v>
      </c>
      <c r="C11" s="12">
        <v>2887.7018602095</v>
      </c>
      <c r="D11" s="12">
        <v>2921.5619539396712</v>
      </c>
      <c r="E11" s="24">
        <f t="shared" si="0"/>
        <v>1.6482653744470742E-2</v>
      </c>
      <c r="F11" s="24">
        <f t="shared" si="1"/>
        <v>4.7019013683423901E-3</v>
      </c>
    </row>
    <row r="12" spans="1:6" x14ac:dyDescent="0.35">
      <c r="A12" s="89" t="s">
        <v>201</v>
      </c>
      <c r="B12" s="93">
        <v>47527.906481519996</v>
      </c>
      <c r="C12" s="93">
        <v>48324.562855120006</v>
      </c>
      <c r="D12" s="93">
        <v>51605.72569754799</v>
      </c>
      <c r="E12" s="95">
        <f t="shared" si="0"/>
        <v>-1.6485537096081641E-2</v>
      </c>
      <c r="F12" s="95">
        <f t="shared" si="1"/>
        <v>-7.9018736020250349E-2</v>
      </c>
    </row>
    <row r="14" spans="1:6" x14ac:dyDescent="0.35">
      <c r="D14" s="12"/>
    </row>
    <row r="15" spans="1:6" x14ac:dyDescent="0.35">
      <c r="D15" s="12"/>
    </row>
    <row r="18" spans="4:4" x14ac:dyDescent="0.35">
      <c r="D18" s="12"/>
    </row>
  </sheetData>
  <pageMargins left="0.70866141732283472" right="0.70866141732283472" top="0.74803149606299213" bottom="0.74803149606299213" header="0.31496062992125984" footer="0.31496062992125984"/>
  <pageSetup paperSize="9" scale="79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7.25" x14ac:dyDescent="0.35"/>
  <cols>
    <col min="1" max="1" width="37.33203125" customWidth="1"/>
    <col min="2" max="4" width="11.33203125" customWidth="1"/>
  </cols>
  <sheetData>
    <row r="1" spans="1:6" ht="18" x14ac:dyDescent="0.35">
      <c r="A1" s="18" t="s">
        <v>217</v>
      </c>
      <c r="B1" s="18"/>
      <c r="C1" s="18"/>
      <c r="D1" s="18"/>
    </row>
    <row r="2" spans="1:6" ht="18" thickBot="1" x14ac:dyDescent="0.4">
      <c r="A2" s="19" t="s">
        <v>48</v>
      </c>
      <c r="B2" s="21">
        <f>MAX(Relevantes!$2:$2)</f>
        <v>45382</v>
      </c>
      <c r="C2" s="21">
        <f>EOMONTH(B2,-3)</f>
        <v>45291</v>
      </c>
      <c r="D2" s="21">
        <f>EOMONTH(B2,-12)</f>
        <v>45016</v>
      </c>
      <c r="E2" s="22" t="s">
        <v>207</v>
      </c>
      <c r="F2" s="22" t="s">
        <v>208</v>
      </c>
    </row>
    <row r="3" spans="1:6" x14ac:dyDescent="0.35">
      <c r="A3" s="1" t="s">
        <v>101</v>
      </c>
      <c r="B3" s="1"/>
      <c r="C3" s="1"/>
      <c r="D3" s="1"/>
      <c r="E3" s="3"/>
      <c r="F3" s="3"/>
    </row>
    <row r="4" spans="1:6" x14ac:dyDescent="0.35">
      <c r="A4" t="s">
        <v>219</v>
      </c>
      <c r="B4" s="12">
        <v>44464.592470989999</v>
      </c>
      <c r="C4" s="12">
        <v>45086.289779879997</v>
      </c>
      <c r="D4" s="12">
        <v>47967.173834378002</v>
      </c>
      <c r="E4" s="120">
        <f>(B4-C4)/C4</f>
        <v>-1.3789054542417316E-2</v>
      </c>
      <c r="F4" s="120">
        <f>(B4-D4)/D4</f>
        <v>-7.3020382136370673E-2</v>
      </c>
    </row>
    <row r="5" spans="1:6" x14ac:dyDescent="0.35">
      <c r="A5" t="s">
        <v>220</v>
      </c>
      <c r="B5" s="12">
        <v>3063.3140105299999</v>
      </c>
      <c r="C5" s="12">
        <v>3238.2730752400003</v>
      </c>
      <c r="D5" s="12">
        <v>3638.5518631699997</v>
      </c>
      <c r="E5" s="120">
        <f>(B5-C5)/C5</f>
        <v>-5.4028508604708543E-2</v>
      </c>
      <c r="F5" s="120">
        <f>(B5-D5)/D5</f>
        <v>-0.15809527368914231</v>
      </c>
    </row>
    <row r="6" spans="1:6" x14ac:dyDescent="0.35">
      <c r="A6" t="s">
        <v>221</v>
      </c>
      <c r="B6" s="12">
        <v>1459.78067012</v>
      </c>
      <c r="C6" s="12">
        <v>1567.9490082699999</v>
      </c>
      <c r="D6" s="12">
        <v>1907.5164419299999</v>
      </c>
      <c r="E6" s="120">
        <f>(B6-C6)/C6</f>
        <v>-6.898715301293358E-2</v>
      </c>
      <c r="F6" s="120">
        <f>(B6-D6)/D6</f>
        <v>-0.23472184143114741</v>
      </c>
    </row>
    <row r="7" spans="1:6" x14ac:dyDescent="0.35">
      <c r="A7" s="89" t="s">
        <v>218</v>
      </c>
      <c r="B7" s="93">
        <v>48987.687151639999</v>
      </c>
      <c r="C7" s="93">
        <v>49892.511863389998</v>
      </c>
      <c r="D7" s="93">
        <v>53513.242139477996</v>
      </c>
      <c r="E7" s="96">
        <f>(B7-C7)/C7</f>
        <v>-1.8135481216650057E-2</v>
      </c>
      <c r="F7" s="96">
        <f>(B7-D7)/D7</f>
        <v>-8.456888065280177E-2</v>
      </c>
    </row>
    <row r="8" spans="1:6" x14ac:dyDescent="0.35">
      <c r="E8" s="24"/>
      <c r="F8" s="24"/>
    </row>
    <row r="9" spans="1:6" x14ac:dyDescent="0.35">
      <c r="A9" s="1" t="s">
        <v>103</v>
      </c>
      <c r="B9" s="1"/>
      <c r="C9" s="1"/>
      <c r="D9" s="1"/>
      <c r="E9" s="42"/>
      <c r="F9" s="42"/>
    </row>
    <row r="10" spans="1:6" x14ac:dyDescent="0.35">
      <c r="A10" t="s">
        <v>219</v>
      </c>
      <c r="B10" s="12">
        <v>169.26201613000001</v>
      </c>
      <c r="C10" s="12">
        <v>171.18757640000001</v>
      </c>
      <c r="D10" s="12">
        <v>210.56507609002165</v>
      </c>
      <c r="E10" s="42">
        <f>(B10-C10)/C10</f>
        <v>-1.124824774375394E-2</v>
      </c>
      <c r="F10" s="42">
        <f>(B10-D10)/D10</f>
        <v>-0.19615342072378417</v>
      </c>
    </row>
    <row r="11" spans="1:6" x14ac:dyDescent="0.35">
      <c r="A11" t="s">
        <v>220</v>
      </c>
      <c r="B11" s="12">
        <v>160.55846495999998</v>
      </c>
      <c r="C11" s="12">
        <v>169.005</v>
      </c>
      <c r="D11" s="12">
        <v>211.83186827999998</v>
      </c>
      <c r="E11" s="42">
        <f>(B11-C11)/C11</f>
        <v>-4.997801863850191E-2</v>
      </c>
      <c r="F11" s="42">
        <f>(B11-D11)/D11</f>
        <v>-0.24204763776254226</v>
      </c>
    </row>
    <row r="12" spans="1:6" x14ac:dyDescent="0.35">
      <c r="A12" t="s">
        <v>221</v>
      </c>
      <c r="B12" s="12">
        <v>635.72409855000001</v>
      </c>
      <c r="C12" s="12">
        <v>657.84653838000008</v>
      </c>
      <c r="D12" s="12">
        <v>844.6143171199999</v>
      </c>
      <c r="E12" s="42">
        <f>(B12-C12)/C12</f>
        <v>-3.362857222670558E-2</v>
      </c>
      <c r="F12" s="42">
        <f>(B12-D12)/D12</f>
        <v>-0.24732024349561374</v>
      </c>
    </row>
    <row r="13" spans="1:6" x14ac:dyDescent="0.35">
      <c r="A13" s="89" t="s">
        <v>104</v>
      </c>
      <c r="B13" s="93">
        <v>965.54457964000017</v>
      </c>
      <c r="C13" s="93">
        <v>998.03911477999986</v>
      </c>
      <c r="D13" s="93">
        <v>1267.0112614900213</v>
      </c>
      <c r="E13" s="96">
        <f>(B13-C13)/C13</f>
        <v>-3.2558378382958011E-2</v>
      </c>
      <c r="F13" s="96">
        <f>(B13-D13)/D13</f>
        <v>-0.23793528203963435</v>
      </c>
    </row>
    <row r="14" spans="1:6" x14ac:dyDescent="0.35">
      <c r="E14" s="26"/>
      <c r="F14" s="26"/>
    </row>
    <row r="15" spans="1:6" x14ac:dyDescent="0.35">
      <c r="A15" s="1" t="s">
        <v>105</v>
      </c>
      <c r="B15" s="1"/>
      <c r="C15" s="1"/>
      <c r="D15" s="1"/>
      <c r="E15" s="42"/>
      <c r="F15" s="42"/>
    </row>
    <row r="16" spans="1:6" x14ac:dyDescent="0.35">
      <c r="A16" t="s">
        <v>219</v>
      </c>
      <c r="B16" s="42">
        <f t="shared" ref="B16:B18" si="0">+B10/B4</f>
        <v>3.8066696830839392E-3</v>
      </c>
      <c r="C16" s="42">
        <f t="shared" ref="C16:D16" si="1">+C10/C4</f>
        <v>3.7968876400291738E-3</v>
      </c>
      <c r="D16" s="42">
        <f t="shared" si="1"/>
        <v>4.3897744907186913E-3</v>
      </c>
      <c r="E16" s="37">
        <f>(B16-C16)*100</f>
        <v>9.7820430547653284E-4</v>
      </c>
      <c r="F16" s="37">
        <f>(B16-D16)*100</f>
        <v>-5.8310480763475211E-2</v>
      </c>
    </row>
    <row r="17" spans="1:6" x14ac:dyDescent="0.35">
      <c r="A17" t="s">
        <v>220</v>
      </c>
      <c r="B17" s="42">
        <f t="shared" si="0"/>
        <v>5.241332243710168E-2</v>
      </c>
      <c r="C17" s="42">
        <f t="shared" ref="C17:D17" si="2">+C11/C5</f>
        <v>5.218985430605614E-2</v>
      </c>
      <c r="D17" s="42">
        <f t="shared" si="2"/>
        <v>5.8218729935993446E-2</v>
      </c>
      <c r="E17" s="37">
        <f>(B17-C17)*100</f>
        <v>2.2346813104553997E-2</v>
      </c>
      <c r="F17" s="37">
        <f>(B17-D17)*100</f>
        <v>-0.5805407498891767</v>
      </c>
    </row>
    <row r="18" spans="1:6" x14ac:dyDescent="0.35">
      <c r="A18" t="s">
        <v>221</v>
      </c>
      <c r="B18" s="42">
        <f t="shared" si="0"/>
        <v>0.43549288709086748</v>
      </c>
      <c r="C18" s="42">
        <f t="shared" ref="C18:D18" si="3">+C12/C6</f>
        <v>0.41955863035739699</v>
      </c>
      <c r="D18" s="42">
        <f t="shared" si="3"/>
        <v>0.4427821949809409</v>
      </c>
      <c r="E18" s="37">
        <f>(B18-C18)*100</f>
        <v>1.5934256733470487</v>
      </c>
      <c r="F18" s="37">
        <f>(B18-D18)*100</f>
        <v>-0.72893078900734265</v>
      </c>
    </row>
    <row r="19" spans="1:6" x14ac:dyDescent="0.35">
      <c r="A19" s="89" t="s">
        <v>106</v>
      </c>
      <c r="B19" s="96">
        <f>+B13/B6</f>
        <v>0.66143126800043761</v>
      </c>
      <c r="C19" s="96">
        <f t="shared" ref="C19:D19" si="4">+C13/C6</f>
        <v>0.6365252374381668</v>
      </c>
      <c r="D19" s="96">
        <f t="shared" si="4"/>
        <v>0.6642203619529885</v>
      </c>
      <c r="E19" s="97">
        <f>(B19-C19)*100</f>
        <v>2.4906030562270809</v>
      </c>
      <c r="F19" s="97">
        <f>(B19-D19)*100</f>
        <v>-0.27890939525508918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49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7.25" x14ac:dyDescent="0.35"/>
  <cols>
    <col min="1" max="1" width="43.33203125" customWidth="1"/>
    <col min="2" max="4" width="11.33203125" customWidth="1"/>
  </cols>
  <sheetData>
    <row r="1" spans="1:6" ht="18" x14ac:dyDescent="0.35">
      <c r="A1" s="18" t="s">
        <v>100</v>
      </c>
      <c r="B1" s="18"/>
      <c r="C1" s="18"/>
      <c r="D1" s="18"/>
    </row>
    <row r="2" spans="1:6" ht="18" thickBot="1" x14ac:dyDescent="0.4">
      <c r="A2" s="19" t="s">
        <v>48</v>
      </c>
      <c r="B2" s="21">
        <f>MAX(Relevantes!$2:$2)</f>
        <v>45382</v>
      </c>
      <c r="C2" s="21">
        <f>EOMONTH(B2,-3)</f>
        <v>45291</v>
      </c>
      <c r="D2" s="21">
        <f>EOMONTH(B2,-12)</f>
        <v>45016</v>
      </c>
      <c r="E2" s="22" t="s">
        <v>207</v>
      </c>
      <c r="F2" s="22" t="s">
        <v>208</v>
      </c>
    </row>
    <row r="3" spans="1:6" x14ac:dyDescent="0.35">
      <c r="A3" s="1" t="s">
        <v>101</v>
      </c>
      <c r="B3" s="1"/>
      <c r="C3" s="1"/>
      <c r="D3" s="1"/>
      <c r="E3" s="3"/>
      <c r="F3" s="3"/>
    </row>
    <row r="4" spans="1:6" ht="18" thickBot="1" x14ac:dyDescent="0.4">
      <c r="A4" s="109" t="s">
        <v>91</v>
      </c>
      <c r="B4" s="121">
        <v>7.6436619999999991</v>
      </c>
      <c r="C4" s="121">
        <v>1.7557</v>
      </c>
      <c r="D4" s="121">
        <v>13.570538000000001</v>
      </c>
      <c r="E4" s="122">
        <f t="shared" ref="E4:E13" si="0">(B4-C4)/C4</f>
        <v>3.3536264737711448</v>
      </c>
      <c r="F4" s="122">
        <f t="shared" ref="F4:F13" si="1">(B4-D4)/D4</f>
        <v>-0.43674583866903444</v>
      </c>
    </row>
    <row r="5" spans="1:6" x14ac:dyDescent="0.35">
      <c r="A5" s="117" t="s">
        <v>92</v>
      </c>
      <c r="B5" s="123">
        <v>1452.13700812</v>
      </c>
      <c r="C5" s="123">
        <v>1566.1933082700002</v>
      </c>
      <c r="D5" s="123">
        <v>1893.94590393</v>
      </c>
      <c r="E5" s="124">
        <f t="shared" si="0"/>
        <v>-7.2823896991352569E-2</v>
      </c>
      <c r="F5" s="124">
        <f t="shared" si="1"/>
        <v>-0.23327429515976775</v>
      </c>
    </row>
    <row r="6" spans="1:6" x14ac:dyDescent="0.35">
      <c r="A6" s="1" t="s">
        <v>93</v>
      </c>
      <c r="B6" s="13">
        <v>654.29564378000009</v>
      </c>
      <c r="C6" s="13">
        <v>673.36694539000007</v>
      </c>
      <c r="D6" s="13">
        <v>854.34585340000001</v>
      </c>
      <c r="E6" s="26">
        <f t="shared" si="0"/>
        <v>-2.8322301444354797E-2</v>
      </c>
      <c r="F6" s="26">
        <f t="shared" si="1"/>
        <v>-0.23415600230734368</v>
      </c>
    </row>
    <row r="7" spans="1:6" x14ac:dyDescent="0.35">
      <c r="A7" t="s">
        <v>94</v>
      </c>
      <c r="B7" s="12">
        <v>53.52890880999999</v>
      </c>
      <c r="C7" s="12">
        <v>61.522121179999999</v>
      </c>
      <c r="D7" s="12">
        <v>133.714731</v>
      </c>
      <c r="E7" s="42">
        <f t="shared" si="0"/>
        <v>-0.12992419989248508</v>
      </c>
      <c r="F7" s="42">
        <f t="shared" si="1"/>
        <v>-0.59967829715037169</v>
      </c>
    </row>
    <row r="8" spans="1:6" x14ac:dyDescent="0.35">
      <c r="A8" t="s">
        <v>95</v>
      </c>
      <c r="B8" s="12">
        <v>460.10492698000007</v>
      </c>
      <c r="C8" s="12">
        <v>486.83686625000001</v>
      </c>
      <c r="D8" s="12">
        <v>577.70744228000001</v>
      </c>
      <c r="E8" s="42">
        <f t="shared" si="0"/>
        <v>-5.4909439122616858E-2</v>
      </c>
      <c r="F8" s="42">
        <f t="shared" si="1"/>
        <v>-0.2035675961449723</v>
      </c>
    </row>
    <row r="9" spans="1:6" x14ac:dyDescent="0.35">
      <c r="A9" t="s">
        <v>96</v>
      </c>
      <c r="B9" s="12">
        <v>140.66180799000003</v>
      </c>
      <c r="C9" s="12">
        <v>125.00795796</v>
      </c>
      <c r="D9" s="12">
        <v>142.92368012</v>
      </c>
      <c r="E9" s="42">
        <f t="shared" si="0"/>
        <v>0.12522282809394378</v>
      </c>
      <c r="F9" s="42">
        <f t="shared" si="1"/>
        <v>-1.5825733902883582E-2</v>
      </c>
    </row>
    <row r="10" spans="1:6" x14ac:dyDescent="0.35">
      <c r="A10" s="1" t="s">
        <v>97</v>
      </c>
      <c r="B10" s="13">
        <v>797.84136433999993</v>
      </c>
      <c r="C10" s="13">
        <v>892.82636288000003</v>
      </c>
      <c r="D10" s="13">
        <v>1039.6000505299999</v>
      </c>
      <c r="E10" s="26">
        <f t="shared" si="0"/>
        <v>-0.10638686590033691</v>
      </c>
      <c r="F10" s="26">
        <f t="shared" si="1"/>
        <v>-0.23254970607855263</v>
      </c>
    </row>
    <row r="11" spans="1:6" x14ac:dyDescent="0.35">
      <c r="A11" s="15" t="s">
        <v>98</v>
      </c>
      <c r="B11" s="12">
        <v>732.29617675999964</v>
      </c>
      <c r="C11" s="12">
        <v>835.80168941999898</v>
      </c>
      <c r="D11" s="12">
        <v>994.16325171999722</v>
      </c>
      <c r="E11" s="42">
        <f t="shared" si="0"/>
        <v>-0.12383979832802988</v>
      </c>
      <c r="F11" s="42">
        <f t="shared" si="1"/>
        <v>-0.2634045007265583</v>
      </c>
    </row>
    <row r="12" spans="1:6" x14ac:dyDescent="0.35">
      <c r="A12" t="s">
        <v>99</v>
      </c>
      <c r="B12" s="12">
        <v>65.54518758000026</v>
      </c>
      <c r="C12" s="12">
        <v>57.02467346000104</v>
      </c>
      <c r="D12" s="12">
        <v>45.436798810002571</v>
      </c>
      <c r="E12" s="42">
        <f t="shared" si="0"/>
        <v>0.14941802561966069</v>
      </c>
      <c r="F12" s="42">
        <f t="shared" si="1"/>
        <v>0.44255733891118615</v>
      </c>
    </row>
    <row r="13" spans="1:6" x14ac:dyDescent="0.35">
      <c r="A13" s="89" t="s">
        <v>102</v>
      </c>
      <c r="B13" s="93">
        <v>1459.78067012</v>
      </c>
      <c r="C13" s="93">
        <v>1567.9490082700001</v>
      </c>
      <c r="D13" s="93">
        <v>1907.5164419299999</v>
      </c>
      <c r="E13" s="96">
        <f t="shared" si="0"/>
        <v>-6.8987153012933719E-2</v>
      </c>
      <c r="F13" s="96">
        <f t="shared" si="1"/>
        <v>-0.23472184143114741</v>
      </c>
    </row>
    <row r="14" spans="1:6" ht="11.25" customHeight="1" x14ac:dyDescent="0.35">
      <c r="E14" s="24"/>
      <c r="F14" s="24"/>
    </row>
    <row r="15" spans="1:6" x14ac:dyDescent="0.35">
      <c r="A15" s="1" t="s">
        <v>249</v>
      </c>
      <c r="B15" s="1"/>
      <c r="C15" s="1"/>
      <c r="D15" s="1"/>
      <c r="E15" s="42"/>
      <c r="F15" s="42"/>
    </row>
    <row r="16" spans="1:6" ht="18" thickBot="1" x14ac:dyDescent="0.4">
      <c r="A16" s="109" t="s">
        <v>91</v>
      </c>
      <c r="B16" s="122">
        <f>+B4/(B4+'Credito Performing'!B3)</f>
        <v>1.6702307724013924E-3</v>
      </c>
      <c r="C16" s="122">
        <f>+C4/(C4+'Credito Performing'!C3)</f>
        <v>3.6570081937814975E-4</v>
      </c>
      <c r="D16" s="122">
        <f>+D4/(D4+'Credito Performing'!D3)</f>
        <v>2.5307110284947631E-3</v>
      </c>
      <c r="E16" s="125">
        <f t="shared" ref="E16:E25" si="2">(B16-C16)*100</f>
        <v>0.13045299530232426</v>
      </c>
      <c r="F16" s="125">
        <f t="shared" ref="F16:F25" si="3">(B16-D16)*100</f>
        <v>-8.6048025609337081E-2</v>
      </c>
    </row>
    <row r="17" spans="1:6" x14ac:dyDescent="0.35">
      <c r="A17" s="117" t="s">
        <v>92</v>
      </c>
      <c r="B17" s="124">
        <f>+B5/(B5+'Credito Performing'!B4)</f>
        <v>3.2697484165453289E-2</v>
      </c>
      <c r="C17" s="124">
        <f>+C5/(C5+'Credito Performing'!C4)</f>
        <v>3.4733599051795495E-2</v>
      </c>
      <c r="D17" s="124">
        <f>+D5/(D5+'Credito Performing'!D4)</f>
        <v>3.9333551353221481E-2</v>
      </c>
      <c r="E17" s="126">
        <f t="shared" si="2"/>
        <v>-0.20361148863422066</v>
      </c>
      <c r="F17" s="126">
        <f t="shared" si="3"/>
        <v>-0.6636067187768192</v>
      </c>
    </row>
    <row r="18" spans="1:6" x14ac:dyDescent="0.35">
      <c r="A18" s="1" t="s">
        <v>93</v>
      </c>
      <c r="B18" s="26">
        <f>+B6/(B6+'Credito Performing'!B5)</f>
        <v>5.9986964942187158E-2</v>
      </c>
      <c r="C18" s="26">
        <f>+C6/(C6+'Credito Performing'!C5)</f>
        <v>6.024710450184597E-2</v>
      </c>
      <c r="D18" s="26">
        <f>+D6/(D6+'Credito Performing'!D5)</f>
        <v>6.6011438164917516E-2</v>
      </c>
      <c r="E18" s="36">
        <f t="shared" si="2"/>
        <v>-2.6013955965881186E-2</v>
      </c>
      <c r="F18" s="36">
        <f t="shared" si="3"/>
        <v>-0.60244732227303577</v>
      </c>
    </row>
    <row r="19" spans="1:6" x14ac:dyDescent="0.35">
      <c r="A19" t="s">
        <v>94</v>
      </c>
      <c r="B19" s="42">
        <f>+B7/(B7+'Credito Performing'!B6)</f>
        <v>0.10694053760282217</v>
      </c>
      <c r="C19" s="42">
        <f>+C7/(C7+'Credito Performing'!C6)</f>
        <v>0.10796055922811856</v>
      </c>
      <c r="D19" s="42">
        <f>+D7/(D7+'Credito Performing'!D6)</f>
        <v>0.18432957746732734</v>
      </c>
      <c r="E19" s="37">
        <f t="shared" si="2"/>
        <v>-0.1020021625296394</v>
      </c>
      <c r="F19" s="37">
        <f t="shared" si="3"/>
        <v>-7.7389039864505165</v>
      </c>
    </row>
    <row r="20" spans="1:6" x14ac:dyDescent="0.35">
      <c r="A20" t="s">
        <v>95</v>
      </c>
      <c r="B20" s="42">
        <f>+B8/(B8+'Credito Performing'!B7)</f>
        <v>9.0331156072154625E-2</v>
      </c>
      <c r="C20" s="42">
        <f>+C8/(C8+'Credito Performing'!C7)</f>
        <v>9.1948935599353881E-2</v>
      </c>
      <c r="D20" s="42">
        <f>+D8/(D8+'Credito Performing'!D7)</f>
        <v>8.7326917476958338E-2</v>
      </c>
      <c r="E20" s="37">
        <f t="shared" si="2"/>
        <v>-0.16177795271992562</v>
      </c>
      <c r="F20" s="37">
        <f t="shared" si="3"/>
        <v>0.30042385951962874</v>
      </c>
    </row>
    <row r="21" spans="1:6" x14ac:dyDescent="0.35">
      <c r="A21" t="s">
        <v>96</v>
      </c>
      <c r="B21" s="42">
        <f>+B9/(B9+'Credito Performing'!B8)</f>
        <v>2.6473961527773492E-2</v>
      </c>
      <c r="C21" s="42">
        <f>+C9/(C9+'Credito Performing'!C8)</f>
        <v>2.3532013720585086E-2</v>
      </c>
      <c r="D21" s="42">
        <f>+D9/(D9+'Credito Performing'!D8)</f>
        <v>2.551514519632361E-2</v>
      </c>
      <c r="E21" s="37">
        <f t="shared" si="2"/>
        <v>0.29419478071884064</v>
      </c>
      <c r="F21" s="37">
        <f t="shared" si="3"/>
        <v>9.5881633144988265E-2</v>
      </c>
    </row>
    <row r="22" spans="1:6" x14ac:dyDescent="0.35">
      <c r="A22" s="1" t="s">
        <v>97</v>
      </c>
      <c r="B22" s="26">
        <f>+B10/(B10+'Credito Performing'!B9)</f>
        <v>2.3813331374825795E-2</v>
      </c>
      <c r="C22" s="26">
        <f>+C10/(C10+'Credito Performing'!C9)</f>
        <v>2.6325535934452516E-2</v>
      </c>
      <c r="D22" s="26">
        <f>+D10/(D10+'Credito Performing'!D9)</f>
        <v>2.9526954706602319E-2</v>
      </c>
      <c r="E22" s="36">
        <f t="shared" si="2"/>
        <v>-0.25122045596267206</v>
      </c>
      <c r="F22" s="36">
        <f t="shared" si="3"/>
        <v>-0.57136233317765239</v>
      </c>
    </row>
    <row r="23" spans="1:6" x14ac:dyDescent="0.35">
      <c r="A23" s="15" t="s">
        <v>98</v>
      </c>
      <c r="B23" s="42">
        <f>+B11/(B11+'Credito Performing'!B10)</f>
        <v>2.4007242781595595E-2</v>
      </c>
      <c r="C23" s="42">
        <f>+C11/(C11+'Credito Performing'!C10)</f>
        <v>2.6987362057385125E-2</v>
      </c>
      <c r="D23" s="42">
        <f>+D11/(D11+'Credito Performing'!D10)</f>
        <v>3.0834884721468132E-2</v>
      </c>
      <c r="E23" s="37">
        <f t="shared" si="2"/>
        <v>-0.29801192757895301</v>
      </c>
      <c r="F23" s="37">
        <f t="shared" si="3"/>
        <v>-0.68276419398725363</v>
      </c>
    </row>
    <row r="24" spans="1:6" x14ac:dyDescent="0.35">
      <c r="A24" t="s">
        <v>99</v>
      </c>
      <c r="B24" s="42">
        <f>+B12/(B12+'Credito Performing'!B11)</f>
        <v>2.1842250632566475E-2</v>
      </c>
      <c r="C24" s="42">
        <f>+C12/(C12+'Credito Performing'!C11)</f>
        <v>1.9365014987976183E-2</v>
      </c>
      <c r="D24" s="42">
        <f>+D12/(D12+'Credito Performing'!D11)</f>
        <v>1.5314060637165386E-2</v>
      </c>
      <c r="E24" s="37">
        <f t="shared" si="2"/>
        <v>0.24772356445902921</v>
      </c>
      <c r="F24" s="37">
        <f t="shared" si="3"/>
        <v>0.65281899954010902</v>
      </c>
    </row>
    <row r="25" spans="1:6" x14ac:dyDescent="0.35">
      <c r="A25" s="89" t="s">
        <v>269</v>
      </c>
      <c r="B25" s="96">
        <f>+B13/(B13+'Credito Performing'!B12)</f>
        <v>2.9798930200588776E-2</v>
      </c>
      <c r="C25" s="96">
        <f>+C13/(C13+'Credito Performing'!C12)</f>
        <v>3.142653976939825E-2</v>
      </c>
      <c r="D25" s="96">
        <f>+D13/(D13+'Credito Performing'!D12)</f>
        <v>3.5645690032351449E-2</v>
      </c>
      <c r="E25" s="97">
        <f t="shared" si="2"/>
        <v>-0.16276095688094738</v>
      </c>
      <c r="F25" s="97">
        <f t="shared" si="3"/>
        <v>-0.58467598317626723</v>
      </c>
    </row>
    <row r="26" spans="1:6" ht="11.25" customHeight="1" x14ac:dyDescent="0.35">
      <c r="E26" s="24"/>
      <c r="F26" s="24"/>
    </row>
    <row r="27" spans="1:6" x14ac:dyDescent="0.35">
      <c r="A27" s="1" t="s">
        <v>103</v>
      </c>
      <c r="B27" s="1"/>
      <c r="C27" s="1"/>
      <c r="D27" s="1"/>
      <c r="E27" s="42"/>
      <c r="F27" s="42"/>
    </row>
    <row r="28" spans="1:6" ht="18" thickBot="1" x14ac:dyDescent="0.4">
      <c r="A28" s="109" t="s">
        <v>91</v>
      </c>
      <c r="B28" s="110">
        <v>3.0493130000000002</v>
      </c>
      <c r="C28" s="110">
        <v>0.96015800000000007</v>
      </c>
      <c r="D28" s="110">
        <v>12.071605999999999</v>
      </c>
      <c r="E28" s="122">
        <f t="shared" ref="E28:E37" si="4">(B28-C28)/C28</f>
        <v>2.1758450171742565</v>
      </c>
      <c r="F28" s="122">
        <f t="shared" ref="F28:F37" si="5">(B28-D28)/D28</f>
        <v>-0.74739790215154467</v>
      </c>
    </row>
    <row r="29" spans="1:6" x14ac:dyDescent="0.35">
      <c r="A29" s="117" t="s">
        <v>92</v>
      </c>
      <c r="B29" s="118">
        <v>962.49526664000018</v>
      </c>
      <c r="C29" s="118">
        <v>997.07895677999988</v>
      </c>
      <c r="D29" s="118">
        <v>1254.9396554900213</v>
      </c>
      <c r="E29" s="124">
        <f t="shared" si="4"/>
        <v>-3.4685006543198373E-2</v>
      </c>
      <c r="F29" s="124">
        <f t="shared" si="5"/>
        <v>-0.23303462247818538</v>
      </c>
    </row>
    <row r="30" spans="1:6" x14ac:dyDescent="0.35">
      <c r="A30" s="1" t="s">
        <v>93</v>
      </c>
      <c r="B30" s="13">
        <v>495.16181873000005</v>
      </c>
      <c r="C30" s="13">
        <v>493.93547554000003</v>
      </c>
      <c r="D30" s="13">
        <v>687.97483286000022</v>
      </c>
      <c r="E30" s="26">
        <f t="shared" si="4"/>
        <v>2.4828003873568921E-3</v>
      </c>
      <c r="F30" s="26">
        <f t="shared" si="5"/>
        <v>-0.28026172604083721</v>
      </c>
    </row>
    <row r="31" spans="1:6" x14ac:dyDescent="0.35">
      <c r="A31" t="s">
        <v>94</v>
      </c>
      <c r="B31" s="12">
        <v>39.260081220000004</v>
      </c>
      <c r="C31" s="12">
        <v>35.654583999999993</v>
      </c>
      <c r="D31" s="12">
        <v>91.179474310000003</v>
      </c>
      <c r="E31" s="42">
        <f t="shared" si="4"/>
        <v>0.10112296416079379</v>
      </c>
      <c r="F31" s="42">
        <f t="shared" si="5"/>
        <v>-0.56941974586824085</v>
      </c>
    </row>
    <row r="32" spans="1:6" x14ac:dyDescent="0.35">
      <c r="A32" t="s">
        <v>95</v>
      </c>
      <c r="B32" s="12">
        <v>324.32716026000003</v>
      </c>
      <c r="C32" s="12">
        <v>323.99259438000001</v>
      </c>
      <c r="D32" s="12">
        <v>455.93464017000025</v>
      </c>
      <c r="E32" s="42">
        <f t="shared" si="4"/>
        <v>1.03263434351099E-3</v>
      </c>
      <c r="F32" s="42">
        <f t="shared" si="5"/>
        <v>-0.28865426821030515</v>
      </c>
    </row>
    <row r="33" spans="1:6" x14ac:dyDescent="0.35">
      <c r="A33" t="s">
        <v>96</v>
      </c>
      <c r="B33" s="12">
        <v>131.57457724999998</v>
      </c>
      <c r="C33" s="12">
        <v>134.28829716000001</v>
      </c>
      <c r="D33" s="12">
        <v>140.86071837999998</v>
      </c>
      <c r="E33" s="42">
        <f t="shared" si="4"/>
        <v>-2.0208163834014001E-2</v>
      </c>
      <c r="F33" s="42">
        <f t="shared" si="5"/>
        <v>-6.5924277802905842E-2</v>
      </c>
    </row>
    <row r="34" spans="1:6" x14ac:dyDescent="0.35">
      <c r="A34" s="1" t="s">
        <v>97</v>
      </c>
      <c r="B34" s="13">
        <v>467.33344791000007</v>
      </c>
      <c r="C34" s="13">
        <v>503.14348123999986</v>
      </c>
      <c r="D34" s="13">
        <v>566.9648226300211</v>
      </c>
      <c r="E34" s="26">
        <f t="shared" si="4"/>
        <v>-7.1172607149248487E-2</v>
      </c>
      <c r="F34" s="26">
        <f t="shared" si="5"/>
        <v>-0.17572761261951614</v>
      </c>
    </row>
    <row r="35" spans="1:6" x14ac:dyDescent="0.35">
      <c r="A35" s="15" t="s">
        <v>98</v>
      </c>
      <c r="B35" s="12">
        <v>432.78777838741888</v>
      </c>
      <c r="C35" s="12">
        <v>476.38981460733487</v>
      </c>
      <c r="D35" s="12">
        <v>536.27770579258186</v>
      </c>
      <c r="E35" s="42">
        <f t="shared" si="4"/>
        <v>-9.1525962316921158E-2</v>
      </c>
      <c r="F35" s="42">
        <f t="shared" si="5"/>
        <v>-0.19297823923560634</v>
      </c>
    </row>
    <row r="36" spans="1:6" x14ac:dyDescent="0.35">
      <c r="A36" t="s">
        <v>99</v>
      </c>
      <c r="B36" s="12">
        <v>34.545669522581193</v>
      </c>
      <c r="C36" s="12">
        <v>26.753666632664981</v>
      </c>
      <c r="D36" s="12">
        <v>30.687116837439213</v>
      </c>
      <c r="E36" s="42">
        <f t="shared" si="4"/>
        <v>0.29124990592513922</v>
      </c>
      <c r="F36" s="42">
        <f t="shared" si="5"/>
        <v>0.1257385210080873</v>
      </c>
    </row>
    <row r="37" spans="1:6" x14ac:dyDescent="0.35">
      <c r="A37" s="89" t="s">
        <v>104</v>
      </c>
      <c r="B37" s="93">
        <v>965.54457964000017</v>
      </c>
      <c r="C37" s="93">
        <v>998.03911477999986</v>
      </c>
      <c r="D37" s="93">
        <v>1267.0112614900213</v>
      </c>
      <c r="E37" s="96">
        <f t="shared" si="4"/>
        <v>-3.2558378382958011E-2</v>
      </c>
      <c r="F37" s="96">
        <f t="shared" si="5"/>
        <v>-0.23793528203963435</v>
      </c>
    </row>
    <row r="38" spans="1:6" ht="10.5" customHeight="1" x14ac:dyDescent="0.35">
      <c r="E38" s="42"/>
      <c r="F38" s="42"/>
    </row>
    <row r="39" spans="1:6" x14ac:dyDescent="0.35">
      <c r="A39" s="1" t="s">
        <v>105</v>
      </c>
      <c r="B39" s="1"/>
      <c r="C39" s="1"/>
      <c r="D39" s="1"/>
      <c r="E39" s="42"/>
      <c r="F39" s="42"/>
    </row>
    <row r="40" spans="1:6" ht="18" thickBot="1" x14ac:dyDescent="0.4">
      <c r="A40" s="109" t="s">
        <v>91</v>
      </c>
      <c r="B40" s="122">
        <f t="shared" ref="B40:D41" si="6">+B28/B4</f>
        <v>0.39893352165493456</v>
      </c>
      <c r="C40" s="122">
        <f t="shared" si="6"/>
        <v>0.54688044654553747</v>
      </c>
      <c r="D40" s="122">
        <f t="shared" si="6"/>
        <v>0.88954513078258202</v>
      </c>
      <c r="E40" s="125">
        <f t="shared" ref="E40:E49" si="7">(B40-C40)*100</f>
        <v>-14.79469248906029</v>
      </c>
      <c r="F40" s="125">
        <f t="shared" ref="F40:F49" si="8">(B40-D40)*100</f>
        <v>-49.061160912764748</v>
      </c>
    </row>
    <row r="41" spans="1:6" x14ac:dyDescent="0.35">
      <c r="A41" s="117" t="s">
        <v>92</v>
      </c>
      <c r="B41" s="124">
        <f t="shared" si="6"/>
        <v>0.66281298614246364</v>
      </c>
      <c r="C41" s="124">
        <f t="shared" si="6"/>
        <v>0.63662572909429826</v>
      </c>
      <c r="D41" s="124">
        <f t="shared" si="6"/>
        <v>0.66260586054014547</v>
      </c>
      <c r="E41" s="126">
        <f t="shared" si="7"/>
        <v>2.618725704816538</v>
      </c>
      <c r="F41" s="126">
        <f t="shared" si="8"/>
        <v>2.0712560231817001E-2</v>
      </c>
    </row>
    <row r="42" spans="1:6" x14ac:dyDescent="0.35">
      <c r="A42" s="1" t="s">
        <v>93</v>
      </c>
      <c r="B42" s="26">
        <f t="shared" ref="B42:D42" si="9">+B30/B6</f>
        <v>0.75678605449571501</v>
      </c>
      <c r="C42" s="26">
        <f t="shared" si="9"/>
        <v>0.73353092087691196</v>
      </c>
      <c r="D42" s="26">
        <f t="shared" si="9"/>
        <v>0.80526502249890852</v>
      </c>
      <c r="E42" s="36">
        <f t="shared" si="7"/>
        <v>2.3255133618803048</v>
      </c>
      <c r="F42" s="36">
        <f t="shared" si="8"/>
        <v>-4.8478968003193508</v>
      </c>
    </row>
    <row r="43" spans="1:6" x14ac:dyDescent="0.35">
      <c r="A43" t="s">
        <v>94</v>
      </c>
      <c r="B43" s="42">
        <f t="shared" ref="B43:D43" si="10">+B31/B7</f>
        <v>0.73343697999436219</v>
      </c>
      <c r="C43" s="42">
        <f t="shared" si="10"/>
        <v>0.57954087596691661</v>
      </c>
      <c r="D43" s="42">
        <f t="shared" si="10"/>
        <v>0.68189550715994041</v>
      </c>
      <c r="E43" s="37">
        <f t="shared" si="7"/>
        <v>15.389610402744559</v>
      </c>
      <c r="F43" s="37">
        <f t="shared" si="8"/>
        <v>5.1541472834421782</v>
      </c>
    </row>
    <row r="44" spans="1:6" x14ac:dyDescent="0.35">
      <c r="A44" t="s">
        <v>95</v>
      </c>
      <c r="B44" s="42">
        <f t="shared" ref="B44:D44" si="11">+B32/B8</f>
        <v>0.70489825524971594</v>
      </c>
      <c r="C44" s="42">
        <f t="shared" si="11"/>
        <v>0.66550546361791685</v>
      </c>
      <c r="D44" s="42">
        <f t="shared" si="11"/>
        <v>0.78921372099793796</v>
      </c>
      <c r="E44" s="37">
        <f t="shared" si="7"/>
        <v>3.9392791631799096</v>
      </c>
      <c r="F44" s="37">
        <f t="shared" si="8"/>
        <v>-8.4315465748222014</v>
      </c>
    </row>
    <row r="45" spans="1:6" x14ac:dyDescent="0.35">
      <c r="A45" t="s">
        <v>96</v>
      </c>
      <c r="B45" s="42">
        <f t="shared" ref="B45:D45" si="12">+B33/B9</f>
        <v>0.93539660217757126</v>
      </c>
      <c r="C45" s="42">
        <f t="shared" si="12"/>
        <v>1.0742379873365304</v>
      </c>
      <c r="D45" s="42">
        <f t="shared" si="12"/>
        <v>0.98556599061633499</v>
      </c>
      <c r="E45" s="37">
        <f t="shared" si="7"/>
        <v>-13.884138515895916</v>
      </c>
      <c r="F45" s="37">
        <f t="shared" si="8"/>
        <v>-5.0169388438763729</v>
      </c>
    </row>
    <row r="46" spans="1:6" x14ac:dyDescent="0.35">
      <c r="A46" s="1" t="s">
        <v>97</v>
      </c>
      <c r="B46" s="26">
        <f t="shared" ref="B46:D46" si="13">+B34/B10</f>
        <v>0.5857473287269247</v>
      </c>
      <c r="C46" s="26">
        <f t="shared" si="13"/>
        <v>0.56354012623126881</v>
      </c>
      <c r="D46" s="26">
        <f t="shared" si="13"/>
        <v>0.54536821380585354</v>
      </c>
      <c r="E46" s="36">
        <f t="shared" si="7"/>
        <v>2.2207202495655887</v>
      </c>
      <c r="F46" s="36">
        <f t="shared" si="8"/>
        <v>4.0379114921071153</v>
      </c>
    </row>
    <row r="47" spans="1:6" x14ac:dyDescent="0.35">
      <c r="A47" s="15" t="s">
        <v>98</v>
      </c>
      <c r="B47" s="42">
        <f t="shared" ref="B47:D47" si="14">+B35/B11</f>
        <v>0.59100100768279629</v>
      </c>
      <c r="C47" s="42">
        <f t="shared" si="14"/>
        <v>0.5699794827382122</v>
      </c>
      <c r="D47" s="42">
        <f t="shared" si="14"/>
        <v>0.53942620074195091</v>
      </c>
      <c r="E47" s="37">
        <f t="shared" si="7"/>
        <v>2.1021524944584091</v>
      </c>
      <c r="F47" s="37">
        <f t="shared" si="8"/>
        <v>5.157480694084537</v>
      </c>
    </row>
    <row r="48" spans="1:6" x14ac:dyDescent="0.35">
      <c r="A48" t="s">
        <v>99</v>
      </c>
      <c r="B48" s="42">
        <f t="shared" ref="B48:D48" si="15">+B36/B12</f>
        <v>0.52705119625169983</v>
      </c>
      <c r="C48" s="42">
        <f t="shared" si="15"/>
        <v>0.46915948850510952</v>
      </c>
      <c r="D48" s="42">
        <f t="shared" si="15"/>
        <v>0.67538025655723954</v>
      </c>
      <c r="E48" s="37">
        <f t="shared" si="7"/>
        <v>5.7891707746590306</v>
      </c>
      <c r="F48" s="37">
        <f t="shared" si="8"/>
        <v>-14.832906030553971</v>
      </c>
    </row>
    <row r="49" spans="1:6" x14ac:dyDescent="0.35">
      <c r="A49" s="89" t="s">
        <v>106</v>
      </c>
      <c r="B49" s="96">
        <f t="shared" ref="B49:D49" si="16">+B37/B13</f>
        <v>0.66143126800043761</v>
      </c>
      <c r="C49" s="96">
        <f t="shared" si="16"/>
        <v>0.63652523743816669</v>
      </c>
      <c r="D49" s="96">
        <f t="shared" si="16"/>
        <v>0.6642203619529885</v>
      </c>
      <c r="E49" s="97">
        <f t="shared" si="7"/>
        <v>2.490603056227092</v>
      </c>
      <c r="F49" s="97">
        <f t="shared" si="8"/>
        <v>-0.27890939525508918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2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7.25" x14ac:dyDescent="0.35"/>
  <cols>
    <col min="1" max="1" width="32.77734375" customWidth="1"/>
    <col min="2" max="2" width="14.44140625" customWidth="1"/>
    <col min="3" max="6" width="11.5546875" customWidth="1"/>
    <col min="9" max="9" width="10.77734375" customWidth="1"/>
    <col min="10" max="10" width="8.33203125" customWidth="1"/>
    <col min="11" max="11" width="6.6640625" customWidth="1"/>
  </cols>
  <sheetData>
    <row r="1" spans="1:8" ht="18" x14ac:dyDescent="0.35">
      <c r="A1" s="18" t="s">
        <v>107</v>
      </c>
      <c r="B1" s="18"/>
      <c r="C1" s="77">
        <f>MAX(Relevantes!$2:$2)</f>
        <v>45382</v>
      </c>
      <c r="D1" s="77">
        <f>EOMONTH(C1,-3)</f>
        <v>45291</v>
      </c>
      <c r="E1" s="77">
        <f t="shared" ref="E1:F1" si="0">EOMONTH(D1,-3)</f>
        <v>45199</v>
      </c>
      <c r="F1" s="77">
        <f t="shared" si="0"/>
        <v>45107</v>
      </c>
    </row>
    <row r="2" spans="1:8" ht="18" thickBot="1" x14ac:dyDescent="0.4">
      <c r="A2" s="19" t="s">
        <v>48</v>
      </c>
      <c r="B2" s="21" t="s">
        <v>280</v>
      </c>
      <c r="C2" s="21" t="s">
        <v>273</v>
      </c>
      <c r="D2" s="21" t="s">
        <v>271</v>
      </c>
      <c r="E2" s="21" t="s">
        <v>270</v>
      </c>
      <c r="F2" s="21" t="s">
        <v>261</v>
      </c>
    </row>
    <row r="3" spans="1:8" x14ac:dyDescent="0.35">
      <c r="A3" s="1" t="s">
        <v>108</v>
      </c>
      <c r="B3" s="1"/>
      <c r="C3" s="1"/>
      <c r="D3" s="1"/>
      <c r="E3" s="2"/>
      <c r="F3" s="2"/>
    </row>
    <row r="4" spans="1:8" x14ac:dyDescent="0.35">
      <c r="A4" s="109" t="s">
        <v>109</v>
      </c>
      <c r="B4" s="110">
        <f>+C7</f>
        <v>1567.9490082700001</v>
      </c>
      <c r="C4" s="110">
        <f>+D7</f>
        <v>1737.02255614</v>
      </c>
      <c r="D4" s="110">
        <f>+E7</f>
        <v>1920.5421788099995</v>
      </c>
      <c r="E4" s="110">
        <f>+F7</f>
        <v>1907.5164419299999</v>
      </c>
      <c r="F4" s="110">
        <v>1937.7634854400005</v>
      </c>
    </row>
    <row r="5" spans="1:8" x14ac:dyDescent="0.35">
      <c r="A5" t="s">
        <v>202</v>
      </c>
      <c r="B5" s="12">
        <v>111.36939875999995</v>
      </c>
      <c r="C5" s="12">
        <v>121.82081329000013</v>
      </c>
      <c r="D5" s="12">
        <v>91.352931299999995</v>
      </c>
      <c r="E5" s="12">
        <v>127.61578955000007</v>
      </c>
      <c r="F5" s="12">
        <v>108.97987379999978</v>
      </c>
    </row>
    <row r="6" spans="1:8" x14ac:dyDescent="0.35">
      <c r="A6" t="s">
        <v>112</v>
      </c>
      <c r="B6" s="12">
        <v>-220.81356598000079</v>
      </c>
      <c r="C6" s="12">
        <v>-290.89436115999996</v>
      </c>
      <c r="D6" s="12">
        <v>-274.87255397000064</v>
      </c>
      <c r="E6" s="12">
        <v>-114.59005266999992</v>
      </c>
      <c r="F6" s="12">
        <v>-139.22691730999964</v>
      </c>
    </row>
    <row r="7" spans="1:8" x14ac:dyDescent="0.35">
      <c r="A7" s="89" t="s">
        <v>110</v>
      </c>
      <c r="B7" s="93">
        <f>+'Dudosos (I)'!B13</f>
        <v>1459.78067012</v>
      </c>
      <c r="C7" s="93">
        <f>+'Dudosos (I)'!C13</f>
        <v>1567.9490082700001</v>
      </c>
      <c r="D7" s="93">
        <v>1737.02255614</v>
      </c>
      <c r="E7" s="93">
        <v>1920.5421788099995</v>
      </c>
      <c r="F7" s="93">
        <v>1907.5164419299999</v>
      </c>
    </row>
    <row r="8" spans="1:8" x14ac:dyDescent="0.35">
      <c r="G8" s="12"/>
      <c r="H8" s="12"/>
    </row>
    <row r="9" spans="1:8" ht="15" customHeight="1" thickBot="1" x14ac:dyDescent="0.4">
      <c r="B9" s="21">
        <f>Relevantes!B2</f>
        <v>45382</v>
      </c>
      <c r="C9" s="21">
        <f>EOMONTH(B9,-3)</f>
        <v>45291</v>
      </c>
      <c r="D9" s="21">
        <f>EOMONTH(B9,-12)</f>
        <v>45016</v>
      </c>
      <c r="E9" s="21" t="s">
        <v>207</v>
      </c>
      <c r="F9" s="21" t="s">
        <v>208</v>
      </c>
    </row>
    <row r="10" spans="1:8" x14ac:dyDescent="0.35">
      <c r="A10" s="98" t="s">
        <v>22</v>
      </c>
      <c r="B10" s="95">
        <v>0.31648063817692473</v>
      </c>
      <c r="C10" s="95">
        <v>0.32921515229160203</v>
      </c>
      <c r="D10" s="95">
        <v>0.42303886972866622</v>
      </c>
      <c r="E10" s="99">
        <f>(B10-C10)*100</f>
        <v>-1.2734514114677298</v>
      </c>
      <c r="F10" s="99">
        <f>(B10-D10)*100</f>
        <v>-10.655823155174149</v>
      </c>
    </row>
    <row r="11" spans="1:8" x14ac:dyDescent="0.35">
      <c r="A11" s="56" t="s">
        <v>113</v>
      </c>
      <c r="B11" s="56"/>
      <c r="C11" s="56"/>
      <c r="D11" s="56"/>
      <c r="E11" s="51"/>
      <c r="F11" s="51"/>
      <c r="G11" s="51"/>
      <c r="H11" s="51"/>
    </row>
    <row r="13" spans="1:8" x14ac:dyDescent="0.35">
      <c r="G13" s="69"/>
      <c r="H13" s="69"/>
    </row>
    <row r="62" spans="1:5" x14ac:dyDescent="0.35">
      <c r="A62" s="41"/>
      <c r="B62" s="41"/>
      <c r="C62" s="41"/>
      <c r="D62" s="41"/>
      <c r="E62" s="41"/>
    </row>
  </sheetData>
  <pageMargins left="0.70866141732283472" right="0.70866141732283472" top="0.74803149606299213" bottom="0.74803149606299213" header="0.31496062992125984" footer="0.31496062992125984"/>
  <pageSetup paperSize="9" scale="62"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2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0.77734375" defaultRowHeight="17.25" x14ac:dyDescent="0.35"/>
  <cols>
    <col min="1" max="1" width="52.109375" customWidth="1"/>
    <col min="2" max="4" width="11.33203125" customWidth="1"/>
    <col min="5" max="6" width="10.88671875" customWidth="1"/>
  </cols>
  <sheetData>
    <row r="1" spans="1:6" ht="18" x14ac:dyDescent="0.35">
      <c r="A1" s="18" t="s">
        <v>114</v>
      </c>
      <c r="B1" s="18"/>
      <c r="C1" s="18"/>
      <c r="D1" s="18"/>
    </row>
    <row r="2" spans="1:6" ht="18" thickBot="1" x14ac:dyDescent="0.4">
      <c r="A2" s="19" t="s">
        <v>48</v>
      </c>
      <c r="B2" s="21">
        <f>MAX(Relevantes!$2:$2)</f>
        <v>45382</v>
      </c>
      <c r="C2" s="21">
        <f>EOMONTH(B2,-3)</f>
        <v>45291</v>
      </c>
      <c r="D2" s="21">
        <f>EOMONTH(B2,-12)</f>
        <v>45016</v>
      </c>
      <c r="E2" s="22" t="s">
        <v>207</v>
      </c>
      <c r="F2" s="22" t="s">
        <v>208</v>
      </c>
    </row>
    <row r="3" spans="1:6" x14ac:dyDescent="0.35">
      <c r="A3" s="27" t="s">
        <v>115</v>
      </c>
      <c r="B3" s="27"/>
      <c r="C3" s="27"/>
      <c r="D3" s="27"/>
      <c r="E3" s="42"/>
      <c r="F3" s="42"/>
    </row>
    <row r="4" spans="1:6" x14ac:dyDescent="0.35">
      <c r="A4" s="4" t="s">
        <v>203</v>
      </c>
      <c r="B4" s="12">
        <v>263.58663780000001</v>
      </c>
      <c r="C4" s="12">
        <v>248.73563087999889</v>
      </c>
      <c r="D4" s="12">
        <v>263.75040785999903</v>
      </c>
      <c r="E4" s="42">
        <f>(B4-C4)/C4</f>
        <v>5.9705989316688995E-2</v>
      </c>
      <c r="F4" s="42">
        <f>(B4-D4)/D4</f>
        <v>-6.2092817724078929E-4</v>
      </c>
    </row>
    <row r="5" spans="1:6" x14ac:dyDescent="0.35">
      <c r="A5" s="4" t="s">
        <v>204</v>
      </c>
      <c r="B5" s="12">
        <v>290.01208432999931</v>
      </c>
      <c r="C5" s="12">
        <v>320.76816358000087</v>
      </c>
      <c r="D5" s="12">
        <v>468.07607940999901</v>
      </c>
      <c r="E5" s="42">
        <f>(B5-C5)/C5</f>
        <v>-9.588258044919995E-2</v>
      </c>
      <c r="F5" s="42">
        <f>(B5-D5)/D5</f>
        <v>-0.38041678033290222</v>
      </c>
    </row>
    <row r="6" spans="1:6" x14ac:dyDescent="0.35">
      <c r="A6" s="4" t="s">
        <v>205</v>
      </c>
      <c r="B6" s="12">
        <v>506.48986545000082</v>
      </c>
      <c r="C6" s="12">
        <v>527.70836681000196</v>
      </c>
      <c r="D6" s="12">
        <v>853.64899996999532</v>
      </c>
      <c r="E6" s="42">
        <f>(B6-C6)/C6</f>
        <v>-4.0208764337520402E-2</v>
      </c>
      <c r="F6" s="42">
        <f>(B6-D6)/D6</f>
        <v>-0.40667667218282538</v>
      </c>
    </row>
    <row r="7" spans="1:6" x14ac:dyDescent="0.35">
      <c r="A7" s="4" t="s">
        <v>206</v>
      </c>
      <c r="B7" s="12">
        <v>142.04667867999993</v>
      </c>
      <c r="C7" s="12">
        <v>156.28258076000014</v>
      </c>
      <c r="D7" s="12">
        <v>204.93295143000006</v>
      </c>
      <c r="E7" s="42">
        <f>(B7-C7)/C7</f>
        <v>-9.109077934835226E-2</v>
      </c>
      <c r="F7" s="42">
        <f>(B7-D7)/D7</f>
        <v>-0.30686267050362809</v>
      </c>
    </row>
    <row r="8" spans="1:6" x14ac:dyDescent="0.35">
      <c r="A8" s="89" t="s">
        <v>116</v>
      </c>
      <c r="B8" s="93">
        <v>1202.13526626</v>
      </c>
      <c r="C8" s="93">
        <v>1253.4947420300018</v>
      </c>
      <c r="D8" s="93">
        <v>1790.4084386699935</v>
      </c>
      <c r="E8" s="96">
        <f>(B8-C8)/C8</f>
        <v>-4.0973028484209285E-2</v>
      </c>
      <c r="F8" s="96">
        <f>(B8-D8)/D8</f>
        <v>-0.3285692581112904</v>
      </c>
    </row>
    <row r="9" spans="1:6" x14ac:dyDescent="0.35">
      <c r="E9" s="42"/>
      <c r="F9" s="42"/>
    </row>
    <row r="10" spans="1:6" x14ac:dyDescent="0.35">
      <c r="A10" s="1" t="s">
        <v>117</v>
      </c>
      <c r="B10" s="27"/>
      <c r="C10" s="27"/>
      <c r="D10" s="27"/>
      <c r="E10" s="42"/>
      <c r="F10" s="42"/>
    </row>
    <row r="11" spans="1:6" x14ac:dyDescent="0.35">
      <c r="A11" s="4" t="s">
        <v>203</v>
      </c>
      <c r="B11" s="12">
        <v>201.96767362596029</v>
      </c>
      <c r="C11" s="12">
        <v>193.32370589000016</v>
      </c>
      <c r="D11" s="12">
        <v>177.86164894000063</v>
      </c>
      <c r="E11" s="42">
        <f>(B11-C11)/C11</f>
        <v>4.4712404493624229E-2</v>
      </c>
      <c r="F11" s="42">
        <f>(B11-D11)/D11</f>
        <v>0.13553244799890229</v>
      </c>
    </row>
    <row r="12" spans="1:6" x14ac:dyDescent="0.35">
      <c r="A12" s="4" t="s">
        <v>204</v>
      </c>
      <c r="B12" s="12">
        <v>186.80058203925333</v>
      </c>
      <c r="C12" s="12">
        <v>209.02842384000036</v>
      </c>
      <c r="D12" s="12">
        <v>268.09386473000148</v>
      </c>
      <c r="E12" s="42">
        <f>(B12-C12)/C12</f>
        <v>-0.10633884804949401</v>
      </c>
      <c r="F12" s="42">
        <f>(B12-D12)/D12</f>
        <v>-0.30322694170050846</v>
      </c>
    </row>
    <row r="13" spans="1:6" x14ac:dyDescent="0.35">
      <c r="A13" s="4" t="s">
        <v>205</v>
      </c>
      <c r="B13" s="12">
        <v>415.60535917164344</v>
      </c>
      <c r="C13" s="12">
        <v>430.49415511000115</v>
      </c>
      <c r="D13" s="12">
        <v>590.0985097500004</v>
      </c>
      <c r="E13" s="42">
        <f>(B13-C13)/C13</f>
        <v>-3.4585361407643907E-2</v>
      </c>
      <c r="F13" s="42">
        <f>(B13-D13)/D13</f>
        <v>-0.29570173063524985</v>
      </c>
    </row>
    <row r="14" spans="1:6" x14ac:dyDescent="0.35">
      <c r="A14" s="4" t="s">
        <v>206</v>
      </c>
      <c r="B14" s="12">
        <v>84.144842633144421</v>
      </c>
      <c r="C14" s="12">
        <v>93.270670480000007</v>
      </c>
      <c r="D14" s="12">
        <v>113.19666601999975</v>
      </c>
      <c r="E14" s="42">
        <f>(B14-C14)/C14</f>
        <v>-9.7842417127390904E-2</v>
      </c>
      <c r="F14" s="42">
        <f>(B14-D14)/D14</f>
        <v>-0.25664910821421555</v>
      </c>
    </row>
    <row r="15" spans="1:6" x14ac:dyDescent="0.35">
      <c r="A15" s="89" t="s">
        <v>118</v>
      </c>
      <c r="B15" s="93">
        <v>888.51845747000152</v>
      </c>
      <c r="C15" s="93">
        <v>926.11695532000169</v>
      </c>
      <c r="D15" s="93">
        <v>1149.2506894400024</v>
      </c>
      <c r="E15" s="96">
        <f>(B15-C15)/C15</f>
        <v>-4.0598001833373996E-2</v>
      </c>
      <c r="F15" s="96">
        <f>(B15-D15)/D15</f>
        <v>-0.2268715036377732</v>
      </c>
    </row>
    <row r="16" spans="1:6" x14ac:dyDescent="0.35">
      <c r="B16" s="24"/>
      <c r="C16" s="24"/>
      <c r="D16" s="24"/>
      <c r="E16" s="42"/>
      <c r="F16" s="42"/>
    </row>
    <row r="17" spans="1:6" x14ac:dyDescent="0.35">
      <c r="A17" s="1" t="s">
        <v>119</v>
      </c>
      <c r="B17" s="27"/>
      <c r="C17" s="27"/>
      <c r="D17" s="27"/>
      <c r="E17" s="42"/>
      <c r="F17" s="42"/>
    </row>
    <row r="18" spans="1:6" x14ac:dyDescent="0.35">
      <c r="A18" s="4" t="s">
        <v>203</v>
      </c>
      <c r="B18" s="24">
        <f>+B11/B4</f>
        <v>0.7662288017012685</v>
      </c>
      <c r="C18" s="24">
        <f>+C11/C4</f>
        <v>0.77722562387239202</v>
      </c>
      <c r="D18" s="24">
        <f t="shared" ref="D18" si="0">+D11/D4</f>
        <v>0.67435591998936784</v>
      </c>
      <c r="E18" s="37">
        <f>(B18-C18)*100</f>
        <v>-1.0996822171123521</v>
      </c>
      <c r="F18" s="37">
        <f>(B18-D18)*100</f>
        <v>9.1872881711900671</v>
      </c>
    </row>
    <row r="19" spans="1:6" x14ac:dyDescent="0.35">
      <c r="A19" s="4" t="s">
        <v>204</v>
      </c>
      <c r="B19" s="24">
        <f t="shared" ref="B19:B22" si="1">+B12/B5</f>
        <v>0.64411309780697434</v>
      </c>
      <c r="C19" s="24">
        <f t="shared" ref="C19" si="2">+C12/C5</f>
        <v>0.6516495325068874</v>
      </c>
      <c r="D19" s="24">
        <f t="shared" ref="D19" si="3">+D12/D5</f>
        <v>0.57275702930158001</v>
      </c>
      <c r="E19" s="37">
        <f>(B19-C19)*100</f>
        <v>-0.75364346999130527</v>
      </c>
      <c r="F19" s="37">
        <f>(B19-D19)*100</f>
        <v>7.1356068505394337</v>
      </c>
    </row>
    <row r="20" spans="1:6" x14ac:dyDescent="0.35">
      <c r="A20" s="4" t="s">
        <v>205</v>
      </c>
      <c r="B20" s="24">
        <f t="shared" si="1"/>
        <v>0.82056006945448101</v>
      </c>
      <c r="C20" s="24">
        <f>+C13/C6</f>
        <v>0.81578042378281601</v>
      </c>
      <c r="D20" s="24">
        <f t="shared" ref="D20" si="4">+D13/D6</f>
        <v>0.69126597673135171</v>
      </c>
      <c r="E20" s="37">
        <f>(B20-C20)*100</f>
        <v>0.47796456716650004</v>
      </c>
      <c r="F20" s="37">
        <f>(B20-D20)*100</f>
        <v>12.929409272312931</v>
      </c>
    </row>
    <row r="21" spans="1:6" x14ac:dyDescent="0.35">
      <c r="A21" s="4" t="s">
        <v>206</v>
      </c>
      <c r="B21" s="24">
        <f t="shared" si="1"/>
        <v>0.59237458710811763</v>
      </c>
      <c r="C21" s="24">
        <f t="shared" ref="C21" si="5">+C14/C7</f>
        <v>0.59680784657142183</v>
      </c>
      <c r="D21" s="24">
        <f t="shared" ref="D21" si="6">+D14/D7</f>
        <v>0.55235951675963091</v>
      </c>
      <c r="E21" s="37">
        <f>(B21-C21)*100</f>
        <v>-0.44332594633041955</v>
      </c>
      <c r="F21" s="37">
        <f>(B21-D21)*100</f>
        <v>4.0015070348486725</v>
      </c>
    </row>
    <row r="22" spans="1:6" x14ac:dyDescent="0.35">
      <c r="A22" s="89" t="s">
        <v>120</v>
      </c>
      <c r="B22" s="95">
        <f t="shared" si="1"/>
        <v>0.73911687179288788</v>
      </c>
      <c r="C22" s="95">
        <f t="shared" ref="C22" si="7">+C15/C8</f>
        <v>0.7388279537736071</v>
      </c>
      <c r="D22" s="95">
        <f t="shared" ref="D22" si="8">+D15/D8</f>
        <v>0.64189302542258131</v>
      </c>
      <c r="E22" s="97">
        <f>(B22-C22)*100</f>
        <v>2.8891801928077054E-2</v>
      </c>
      <c r="F22" s="97">
        <f>(B22-D22)*100</f>
        <v>9.7223846370306575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horizontalDpi="4294967294" verticalDpi="4294967294" r:id="rId1"/>
  <drawing r:id="rId2"/>
</worksheet>
</file>

<file path=docMetadata/LabelInfo.xml><?xml version="1.0" encoding="utf-8"?>
<clbl:labelList xmlns:clbl="http://schemas.microsoft.com/office/2020/mipLabelMetadata">
  <clbl:label id="{09af0433-28b2-4121-98b3-1dff823ab7d9}" enabled="1" method="Standard" siteId="{13c862a8-e750-476c-b911-b9ddf7af03a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MENU</vt:lpstr>
      <vt:lpstr>Relevantes</vt:lpstr>
      <vt:lpstr>Balance</vt:lpstr>
      <vt:lpstr>Recursos</vt:lpstr>
      <vt:lpstr>Credito Performing</vt:lpstr>
      <vt:lpstr>Riesgo de crédito por Stage</vt:lpstr>
      <vt:lpstr>Dudosos (I)</vt:lpstr>
      <vt:lpstr>Dudosos (II)</vt:lpstr>
      <vt:lpstr>Adjudicados (I)</vt:lpstr>
      <vt:lpstr>Adjudicados (II)</vt:lpstr>
      <vt:lpstr>Resultados</vt:lpstr>
      <vt:lpstr>Rend &amp; Costes</vt:lpstr>
      <vt:lpstr>Comisiones</vt:lpstr>
      <vt:lpstr>Liquidez</vt:lpstr>
      <vt:lpstr>Solvencia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2021-07-27T10:28:31Z</dcterms:created>
  <dcterms:modified xsi:type="dcterms:W3CDTF">2024-04-29T07:18:02Z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